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2240" windowHeight="7995"/>
  </bookViews>
  <sheets>
    <sheet name="Sheet1" sheetId="1" r:id="rId1"/>
    <sheet name="Sheet2" sheetId="2" r:id="rId2"/>
    <sheet name="Sheet3" sheetId="3" r:id="rId3"/>
    <sheet name="ModelRiskSYS1" sheetId="4" state="hidden" r:id="rId4"/>
  </sheets>
  <definedNames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AC112" i="1" l="1"/>
  <c r="AB112" i="1"/>
  <c r="AB109" i="1"/>
  <c r="AB108" i="1"/>
  <c r="AB107" i="1"/>
  <c r="AB106" i="1"/>
  <c r="AB105" i="1"/>
  <c r="AB104" i="1"/>
  <c r="AB103" i="1"/>
  <c r="AB102" i="1"/>
  <c r="AB101" i="1"/>
  <c r="AA111" i="1"/>
  <c r="AA108" i="1"/>
  <c r="AA107" i="1"/>
  <c r="AA106" i="1"/>
  <c r="AA105" i="1"/>
  <c r="AA104" i="1"/>
  <c r="AA103" i="1"/>
  <c r="AA109" i="1" s="1"/>
  <c r="AA112" i="1" s="1"/>
  <c r="AA113" i="1" s="1"/>
  <c r="AA102" i="1"/>
  <c r="AA101" i="1"/>
  <c r="AB96" i="1"/>
  <c r="AB95" i="1"/>
  <c r="AB92" i="1"/>
  <c r="AB91" i="1"/>
  <c r="AB90" i="1"/>
  <c r="AB87" i="1"/>
  <c r="AB86" i="1"/>
  <c r="AB85" i="1"/>
  <c r="AB84" i="1"/>
  <c r="AB81" i="1"/>
  <c r="AB80" i="1"/>
  <c r="AB79" i="1"/>
  <c r="AB76" i="1"/>
  <c r="AB75" i="1"/>
  <c r="AB74" i="1"/>
  <c r="AB71" i="1"/>
  <c r="AB70" i="1"/>
  <c r="AB69" i="1"/>
  <c r="AB68" i="1"/>
  <c r="AB67" i="1"/>
  <c r="AB66" i="1"/>
  <c r="AB65" i="1"/>
  <c r="AB64" i="1"/>
  <c r="AB63" i="1"/>
  <c r="AA86" i="1"/>
  <c r="AA80" i="1"/>
  <c r="AA75" i="1"/>
  <c r="AA74" i="1"/>
  <c r="AA76" i="1" s="1"/>
  <c r="AA68" i="1"/>
  <c r="AA65" i="1"/>
  <c r="AA64" i="1"/>
  <c r="AA60" i="1"/>
  <c r="AA91" i="1" s="1"/>
  <c r="AA27" i="1"/>
  <c r="AA29" i="1"/>
  <c r="AA34" i="1"/>
  <c r="AA39" i="1"/>
  <c r="AA45" i="1"/>
  <c r="AA50" i="1"/>
  <c r="Z96" i="1"/>
  <c r="Y96" i="1"/>
  <c r="X96" i="1"/>
  <c r="W96" i="1"/>
  <c r="V96" i="1"/>
  <c r="U96" i="1"/>
  <c r="T96" i="1"/>
  <c r="S96" i="1"/>
  <c r="R96" i="1"/>
  <c r="Q96" i="1"/>
  <c r="AA66" i="1" l="1"/>
  <c r="AA70" i="1"/>
  <c r="AA84" i="1"/>
  <c r="AA90" i="1"/>
  <c r="AA92" i="1" s="1"/>
  <c r="AA63" i="1"/>
  <c r="AA69" i="1" s="1"/>
  <c r="AA71" i="1" s="1"/>
  <c r="AA67" i="1"/>
  <c r="AA79" i="1"/>
  <c r="AA81" i="1" s="1"/>
  <c r="AA85" i="1"/>
  <c r="Q111" i="1"/>
  <c r="R111" i="1" s="1"/>
  <c r="S111" i="1" s="1"/>
  <c r="T111" i="1" s="1"/>
  <c r="U111" i="1" s="1"/>
  <c r="V111" i="1" s="1"/>
  <c r="W111" i="1" s="1"/>
  <c r="X111" i="1" s="1"/>
  <c r="Y111" i="1" s="1"/>
  <c r="Z111" i="1" s="1"/>
  <c r="AA95" i="1" l="1"/>
  <c r="AA96" i="1" s="1"/>
  <c r="AA87" i="1"/>
  <c r="Q60" i="1"/>
  <c r="R60" i="1" s="1"/>
  <c r="S60" i="1" s="1"/>
  <c r="T60" i="1" s="1"/>
  <c r="U60" i="1" s="1"/>
  <c r="V60" i="1" s="1"/>
  <c r="W60" i="1" s="1"/>
  <c r="X60" i="1" s="1"/>
  <c r="Y60" i="1" s="1"/>
  <c r="Z60" i="1" s="1"/>
  <c r="O91" i="1"/>
  <c r="O90" i="1"/>
  <c r="O86" i="1"/>
  <c r="O85" i="1"/>
  <c r="O84" i="1"/>
  <c r="O80" i="1"/>
  <c r="O79" i="1"/>
  <c r="G70" i="1"/>
  <c r="F70" i="1"/>
  <c r="E70" i="1"/>
  <c r="O68" i="1"/>
  <c r="O67" i="1"/>
  <c r="O66" i="1"/>
  <c r="O65" i="1"/>
  <c r="O64" i="1"/>
  <c r="F63" i="1"/>
  <c r="E63" i="1"/>
  <c r="O70" i="1" l="1"/>
  <c r="O63" i="1"/>
  <c r="O48" i="1" l="1"/>
  <c r="B49" i="1" l="1"/>
  <c r="O49" i="1"/>
  <c r="E21" i="1"/>
  <c r="F21" i="1"/>
  <c r="O22" i="1"/>
  <c r="O23" i="1"/>
  <c r="O24" i="1"/>
  <c r="O25" i="1"/>
  <c r="O26" i="1"/>
  <c r="E28" i="1"/>
  <c r="F28" i="1"/>
  <c r="R28" i="1" s="1"/>
  <c r="R70" i="1" s="1"/>
  <c r="R102" i="1" s="1"/>
  <c r="G28" i="1"/>
  <c r="S28" i="1" s="1"/>
  <c r="S70" i="1" s="1"/>
  <c r="S102" i="1" s="1"/>
  <c r="O37" i="1"/>
  <c r="O38" i="1"/>
  <c r="O42" i="1"/>
  <c r="O43" i="1"/>
  <c r="O44" i="1"/>
  <c r="C48" i="1"/>
  <c r="Z48" i="1" s="1"/>
  <c r="Z90" i="1" s="1"/>
  <c r="Z42" i="1"/>
  <c r="Z84" i="1" s="1"/>
  <c r="Y42" i="1"/>
  <c r="Y84" i="1" s="1"/>
  <c r="X42" i="1"/>
  <c r="X84" i="1" s="1"/>
  <c r="W42" i="1"/>
  <c r="W84" i="1" s="1"/>
  <c r="V42" i="1"/>
  <c r="V84" i="1" s="1"/>
  <c r="U42" i="1"/>
  <c r="U84" i="1" s="1"/>
  <c r="T42" i="1"/>
  <c r="T84" i="1" s="1"/>
  <c r="S42" i="1"/>
  <c r="S84" i="1" s="1"/>
  <c r="R42" i="1"/>
  <c r="R84" i="1" s="1"/>
  <c r="Q42" i="1"/>
  <c r="Q84" i="1" s="1"/>
  <c r="Q22" i="1"/>
  <c r="Q64" i="1" s="1"/>
  <c r="R22" i="1"/>
  <c r="R64" i="1" s="1"/>
  <c r="S22" i="1"/>
  <c r="S64" i="1" s="1"/>
  <c r="T22" i="1"/>
  <c r="T64" i="1" s="1"/>
  <c r="U22" i="1"/>
  <c r="U64" i="1" s="1"/>
  <c r="V22" i="1"/>
  <c r="V64" i="1" s="1"/>
  <c r="W22" i="1"/>
  <c r="W64" i="1" s="1"/>
  <c r="X22" i="1"/>
  <c r="X64" i="1" s="1"/>
  <c r="Y22" i="1"/>
  <c r="Y64" i="1" s="1"/>
  <c r="Z22" i="1"/>
  <c r="Z64" i="1" s="1"/>
  <c r="Q24" i="1"/>
  <c r="Q66" i="1" s="1"/>
  <c r="R24" i="1"/>
  <c r="R66" i="1" s="1"/>
  <c r="S24" i="1"/>
  <c r="S66" i="1" s="1"/>
  <c r="T24" i="1"/>
  <c r="T66" i="1" s="1"/>
  <c r="U24" i="1"/>
  <c r="U66" i="1" s="1"/>
  <c r="V24" i="1"/>
  <c r="V66" i="1" s="1"/>
  <c r="W24" i="1"/>
  <c r="W66" i="1" s="1"/>
  <c r="X24" i="1"/>
  <c r="X66" i="1" s="1"/>
  <c r="Y24" i="1"/>
  <c r="Y66" i="1" s="1"/>
  <c r="Z24" i="1"/>
  <c r="Z66" i="1" s="1"/>
  <c r="Q25" i="1"/>
  <c r="Q67" i="1" s="1"/>
  <c r="R25" i="1"/>
  <c r="R67" i="1" s="1"/>
  <c r="S25" i="1"/>
  <c r="S67" i="1" s="1"/>
  <c r="T25" i="1"/>
  <c r="T67" i="1" s="1"/>
  <c r="U25" i="1"/>
  <c r="U67" i="1" s="1"/>
  <c r="V25" i="1"/>
  <c r="V67" i="1" s="1"/>
  <c r="W25" i="1"/>
  <c r="W67" i="1" s="1"/>
  <c r="X25" i="1"/>
  <c r="X67" i="1" s="1"/>
  <c r="Y25" i="1"/>
  <c r="Y67" i="1" s="1"/>
  <c r="Z25" i="1"/>
  <c r="Z67" i="1" s="1"/>
  <c r="T28" i="1"/>
  <c r="T70" i="1" s="1"/>
  <c r="T102" i="1" s="1"/>
  <c r="U28" i="1"/>
  <c r="U70" i="1" s="1"/>
  <c r="U102" i="1" s="1"/>
  <c r="V28" i="1"/>
  <c r="V70" i="1" s="1"/>
  <c r="V102" i="1" s="1"/>
  <c r="W28" i="1"/>
  <c r="W70" i="1" s="1"/>
  <c r="W102" i="1" s="1"/>
  <c r="X28" i="1"/>
  <c r="X70" i="1" s="1"/>
  <c r="X102" i="1" s="1"/>
  <c r="Y28" i="1"/>
  <c r="Y70" i="1" s="1"/>
  <c r="Y102" i="1" s="1"/>
  <c r="Z28" i="1"/>
  <c r="Z70" i="1" s="1"/>
  <c r="Z102" i="1" s="1"/>
  <c r="V21" i="1"/>
  <c r="V63" i="1" s="1"/>
  <c r="W21" i="1"/>
  <c r="W63" i="1" s="1"/>
  <c r="X21" i="1"/>
  <c r="X63" i="1" s="1"/>
  <c r="Y21" i="1"/>
  <c r="Y63" i="1" s="1"/>
  <c r="Z21" i="1"/>
  <c r="Z63" i="1" s="1"/>
  <c r="B37" i="1"/>
  <c r="B38" i="1" s="1"/>
  <c r="C38" i="1" s="1"/>
  <c r="C42" i="1"/>
  <c r="B44" i="1"/>
  <c r="C44" i="1" s="1"/>
  <c r="B43" i="1"/>
  <c r="C26" i="1"/>
  <c r="T26" i="1" s="1"/>
  <c r="T68" i="1" s="1"/>
  <c r="C23" i="1"/>
  <c r="Y49" i="1" l="1"/>
  <c r="Y91" i="1" s="1"/>
  <c r="B79" i="1"/>
  <c r="R23" i="1"/>
  <c r="R65" i="1" s="1"/>
  <c r="C27" i="1"/>
  <c r="C29" i="1" s="1"/>
  <c r="C32" i="1" s="1"/>
  <c r="Q49" i="1"/>
  <c r="Q91" i="1" s="1"/>
  <c r="T49" i="1"/>
  <c r="T91" i="1" s="1"/>
  <c r="W49" i="1"/>
  <c r="W91" i="1" s="1"/>
  <c r="U49" i="1"/>
  <c r="U91" i="1" s="1"/>
  <c r="X49" i="1"/>
  <c r="X91" i="1" s="1"/>
  <c r="R49" i="1"/>
  <c r="R91" i="1" s="1"/>
  <c r="V49" i="1"/>
  <c r="V91" i="1" s="1"/>
  <c r="Z49" i="1"/>
  <c r="C49" i="1"/>
  <c r="C50" i="1" s="1"/>
  <c r="S49" i="1"/>
  <c r="S91" i="1" s="1"/>
  <c r="O21" i="1"/>
  <c r="U44" i="1"/>
  <c r="U86" i="1" s="1"/>
  <c r="O28" i="1"/>
  <c r="Q28" i="1"/>
  <c r="Q70" i="1" s="1"/>
  <c r="S48" i="1"/>
  <c r="S90" i="1" s="1"/>
  <c r="W48" i="1"/>
  <c r="W90" i="1" s="1"/>
  <c r="T48" i="1"/>
  <c r="X48" i="1"/>
  <c r="X90" i="1" s="1"/>
  <c r="Q48" i="1"/>
  <c r="Q90" i="1" s="1"/>
  <c r="U48" i="1"/>
  <c r="U90" i="1" s="1"/>
  <c r="Y48" i="1"/>
  <c r="R48" i="1"/>
  <c r="R90" i="1" s="1"/>
  <c r="V48" i="1"/>
  <c r="V90" i="1" s="1"/>
  <c r="S43" i="1"/>
  <c r="S85" i="1" s="1"/>
  <c r="W44" i="1"/>
  <c r="W86" i="1" s="1"/>
  <c r="W43" i="1"/>
  <c r="W85" i="1" s="1"/>
  <c r="Y44" i="1"/>
  <c r="Y86" i="1" s="1"/>
  <c r="Q44" i="1"/>
  <c r="Q86" i="1" s="1"/>
  <c r="U26" i="1"/>
  <c r="U68" i="1" s="1"/>
  <c r="X37" i="1"/>
  <c r="X79" i="1" s="1"/>
  <c r="X103" i="1" s="1"/>
  <c r="Z38" i="1"/>
  <c r="Z80" i="1" s="1"/>
  <c r="Z104" i="1" s="1"/>
  <c r="S26" i="1"/>
  <c r="S68" i="1" s="1"/>
  <c r="R37" i="1"/>
  <c r="R79" i="1" s="1"/>
  <c r="R103" i="1" s="1"/>
  <c r="Z37" i="1"/>
  <c r="Z79" i="1" s="1"/>
  <c r="Z103" i="1" s="1"/>
  <c r="Y26" i="1"/>
  <c r="Y68" i="1" s="1"/>
  <c r="Q26" i="1"/>
  <c r="Q68" i="1" s="1"/>
  <c r="T37" i="1"/>
  <c r="T79" i="1" s="1"/>
  <c r="T103" i="1" s="1"/>
  <c r="R38" i="1"/>
  <c r="R80" i="1" s="1"/>
  <c r="R104" i="1" s="1"/>
  <c r="S44" i="1"/>
  <c r="S86" i="1" s="1"/>
  <c r="W26" i="1"/>
  <c r="W68" i="1" s="1"/>
  <c r="V37" i="1"/>
  <c r="V79" i="1" s="1"/>
  <c r="V103" i="1" s="1"/>
  <c r="V38" i="1"/>
  <c r="V80" i="1" s="1"/>
  <c r="V104" i="1" s="1"/>
  <c r="AB24" i="1"/>
  <c r="AC24" i="1" s="1"/>
  <c r="AB25" i="1"/>
  <c r="AC25" i="1" s="1"/>
  <c r="AB22" i="1"/>
  <c r="AC22" i="1" s="1"/>
  <c r="S23" i="1"/>
  <c r="S65" i="1" s="1"/>
  <c r="Y23" i="1"/>
  <c r="Y65" i="1" s="1"/>
  <c r="Y69" i="1" s="1"/>
  <c r="U23" i="1"/>
  <c r="U65" i="1" s="1"/>
  <c r="Q23" i="1"/>
  <c r="Q65" i="1" s="1"/>
  <c r="T38" i="1"/>
  <c r="T80" i="1" s="1"/>
  <c r="T104" i="1" s="1"/>
  <c r="X38" i="1"/>
  <c r="X80" i="1" s="1"/>
  <c r="X104" i="1" s="1"/>
  <c r="Q43" i="1"/>
  <c r="Q85" i="1" s="1"/>
  <c r="U43" i="1"/>
  <c r="U85" i="1" s="1"/>
  <c r="Y43" i="1"/>
  <c r="Y85" i="1" s="1"/>
  <c r="Z26" i="1"/>
  <c r="Z68" i="1" s="1"/>
  <c r="V26" i="1"/>
  <c r="V68" i="1" s="1"/>
  <c r="R26" i="1"/>
  <c r="R68" i="1" s="1"/>
  <c r="X23" i="1"/>
  <c r="X65" i="1" s="1"/>
  <c r="T23" i="1"/>
  <c r="T65" i="1" s="1"/>
  <c r="S37" i="1"/>
  <c r="S79" i="1" s="1"/>
  <c r="S103" i="1" s="1"/>
  <c r="W37" i="1"/>
  <c r="W79" i="1" s="1"/>
  <c r="W103" i="1" s="1"/>
  <c r="Q38" i="1"/>
  <c r="Q80" i="1" s="1"/>
  <c r="Q104" i="1" s="1"/>
  <c r="U38" i="1"/>
  <c r="U80" i="1" s="1"/>
  <c r="U104" i="1" s="1"/>
  <c r="Y38" i="1"/>
  <c r="Y80" i="1" s="1"/>
  <c r="Y104" i="1" s="1"/>
  <c r="AB42" i="1"/>
  <c r="AC42" i="1" s="1"/>
  <c r="R43" i="1"/>
  <c r="R85" i="1" s="1"/>
  <c r="V43" i="1"/>
  <c r="V85" i="1" s="1"/>
  <c r="Z43" i="1"/>
  <c r="Z85" i="1" s="1"/>
  <c r="T44" i="1"/>
  <c r="T86" i="1" s="1"/>
  <c r="X44" i="1"/>
  <c r="X86" i="1" s="1"/>
  <c r="W23" i="1"/>
  <c r="X26" i="1"/>
  <c r="X68" i="1" s="1"/>
  <c r="Z23" i="1"/>
  <c r="V23" i="1"/>
  <c r="Q37" i="1"/>
  <c r="Q79" i="1" s="1"/>
  <c r="Q103" i="1" s="1"/>
  <c r="U37" i="1"/>
  <c r="U79" i="1" s="1"/>
  <c r="U103" i="1" s="1"/>
  <c r="Y37" i="1"/>
  <c r="Y79" i="1" s="1"/>
  <c r="Y103" i="1" s="1"/>
  <c r="S38" i="1"/>
  <c r="S80" i="1" s="1"/>
  <c r="S104" i="1" s="1"/>
  <c r="W38" i="1"/>
  <c r="W80" i="1" s="1"/>
  <c r="W104" i="1" s="1"/>
  <c r="T43" i="1"/>
  <c r="T85" i="1" s="1"/>
  <c r="X43" i="1"/>
  <c r="X85" i="1" s="1"/>
  <c r="R44" i="1"/>
  <c r="R86" i="1" s="1"/>
  <c r="V44" i="1"/>
  <c r="V86" i="1" s="1"/>
  <c r="Z44" i="1"/>
  <c r="Z86" i="1" s="1"/>
  <c r="C43" i="1"/>
  <c r="C45" i="1" s="1"/>
  <c r="C37" i="1"/>
  <c r="C39" i="1" s="1"/>
  <c r="X69" i="1" l="1"/>
  <c r="X101" i="1" s="1"/>
  <c r="Y71" i="1"/>
  <c r="Y101" i="1"/>
  <c r="W27" i="1"/>
  <c r="W65" i="1"/>
  <c r="W69" i="1" s="1"/>
  <c r="Q102" i="1"/>
  <c r="V27" i="1"/>
  <c r="V29" i="1" s="1"/>
  <c r="V65" i="1"/>
  <c r="V69" i="1" s="1"/>
  <c r="Y50" i="1"/>
  <c r="Y90" i="1"/>
  <c r="T50" i="1"/>
  <c r="T90" i="1"/>
  <c r="T92" i="1" s="1"/>
  <c r="T106" i="1" s="1"/>
  <c r="Z27" i="1"/>
  <c r="Z65" i="1"/>
  <c r="Z69" i="1" s="1"/>
  <c r="Z50" i="1"/>
  <c r="Z91" i="1"/>
  <c r="C33" i="1"/>
  <c r="V87" i="1"/>
  <c r="V105" i="1" s="1"/>
  <c r="T87" i="1"/>
  <c r="T105" i="1" s="1"/>
  <c r="S87" i="1"/>
  <c r="S105" i="1" s="1"/>
  <c r="R87" i="1"/>
  <c r="R105" i="1" s="1"/>
  <c r="Y87" i="1"/>
  <c r="Y105" i="1" s="1"/>
  <c r="W87" i="1"/>
  <c r="W105" i="1" s="1"/>
  <c r="U87" i="1"/>
  <c r="U105" i="1" s="1"/>
  <c r="X87" i="1"/>
  <c r="X105" i="1" s="1"/>
  <c r="Z87" i="1"/>
  <c r="Z105" i="1" s="1"/>
  <c r="U92" i="1"/>
  <c r="U106" i="1" s="1"/>
  <c r="W92" i="1"/>
  <c r="W106" i="1" s="1"/>
  <c r="B80" i="1"/>
  <c r="X27" i="1"/>
  <c r="Y27" i="1"/>
  <c r="Z29" i="1"/>
  <c r="W29" i="1"/>
  <c r="S50" i="1"/>
  <c r="R50" i="1"/>
  <c r="X50" i="1"/>
  <c r="AB28" i="1"/>
  <c r="AC28" i="1" s="1"/>
  <c r="U50" i="1"/>
  <c r="W50" i="1"/>
  <c r="C53" i="1"/>
  <c r="C54" i="1" s="1"/>
  <c r="V50" i="1"/>
  <c r="Q50" i="1"/>
  <c r="U39" i="1"/>
  <c r="AB49" i="1"/>
  <c r="AC49" i="1" s="1"/>
  <c r="Q39" i="1"/>
  <c r="Y39" i="1"/>
  <c r="AB48" i="1"/>
  <c r="AC48" i="1" s="1"/>
  <c r="AB44" i="1"/>
  <c r="AC44" i="1" s="1"/>
  <c r="S39" i="1"/>
  <c r="W39" i="1"/>
  <c r="X39" i="1"/>
  <c r="Z39" i="1"/>
  <c r="V39" i="1"/>
  <c r="T39" i="1"/>
  <c r="AB43" i="1"/>
  <c r="AC43" i="1" s="1"/>
  <c r="R39" i="1"/>
  <c r="AB26" i="1"/>
  <c r="AC26" i="1" s="1"/>
  <c r="AB38" i="1"/>
  <c r="AC38" i="1" s="1"/>
  <c r="AB23" i="1"/>
  <c r="AC23" i="1" s="1"/>
  <c r="AB37" i="1"/>
  <c r="U21" i="1"/>
  <c r="T21" i="1"/>
  <c r="S21" i="1"/>
  <c r="R21" i="1"/>
  <c r="Q21" i="1"/>
  <c r="W32" i="1" l="1"/>
  <c r="W74" i="1" s="1"/>
  <c r="X71" i="1"/>
  <c r="AC102" i="1"/>
  <c r="C34" i="1"/>
  <c r="R27" i="1"/>
  <c r="R29" i="1" s="1"/>
  <c r="R63" i="1"/>
  <c r="R69" i="1" s="1"/>
  <c r="Z71" i="1"/>
  <c r="Z101" i="1"/>
  <c r="Y75" i="1"/>
  <c r="S27" i="1"/>
  <c r="S29" i="1" s="1"/>
  <c r="S63" i="1"/>
  <c r="S69" i="1" s="1"/>
  <c r="V71" i="1"/>
  <c r="V101" i="1"/>
  <c r="Z75" i="1"/>
  <c r="T27" i="1"/>
  <c r="T29" i="1" s="1"/>
  <c r="T63" i="1"/>
  <c r="T69" i="1" s="1"/>
  <c r="W71" i="1"/>
  <c r="W101" i="1"/>
  <c r="Q27" i="1"/>
  <c r="Q63" i="1"/>
  <c r="U27" i="1"/>
  <c r="U29" i="1" s="1"/>
  <c r="V32" i="1" s="1"/>
  <c r="V74" i="1" s="1"/>
  <c r="U63" i="1"/>
  <c r="U69" i="1" s="1"/>
  <c r="S92" i="1"/>
  <c r="S106" i="1" s="1"/>
  <c r="Q87" i="1"/>
  <c r="AC103" i="1"/>
  <c r="Y92" i="1"/>
  <c r="Y106" i="1" s="1"/>
  <c r="X92" i="1"/>
  <c r="X106" i="1" s="1"/>
  <c r="Z92" i="1"/>
  <c r="Z106" i="1" s="1"/>
  <c r="V81" i="1"/>
  <c r="R81" i="1"/>
  <c r="U81" i="1"/>
  <c r="U95" i="1" s="1"/>
  <c r="U108" i="1" s="1"/>
  <c r="Y81" i="1"/>
  <c r="S81" i="1"/>
  <c r="Z81" i="1"/>
  <c r="T81" i="1"/>
  <c r="T95" i="1" s="1"/>
  <c r="T108" i="1" s="1"/>
  <c r="W81" i="1"/>
  <c r="W95" i="1" s="1"/>
  <c r="W108" i="1" s="1"/>
  <c r="Q92" i="1"/>
  <c r="Q106" i="1" s="1"/>
  <c r="Y29" i="1"/>
  <c r="Z32" i="1" s="1"/>
  <c r="Z74" i="1" s="1"/>
  <c r="X81" i="1"/>
  <c r="R92" i="1"/>
  <c r="R106" i="1" s="1"/>
  <c r="V92" i="1"/>
  <c r="V106" i="1" s="1"/>
  <c r="X33" i="1"/>
  <c r="W33" i="1"/>
  <c r="X29" i="1"/>
  <c r="Y32" i="1" s="1"/>
  <c r="Y74" i="1" s="1"/>
  <c r="AB50" i="1"/>
  <c r="AC50" i="1" s="1"/>
  <c r="AB39" i="1"/>
  <c r="AC39" i="1" s="1"/>
  <c r="AB21" i="1"/>
  <c r="AC21" i="1" s="1"/>
  <c r="AC37" i="1"/>
  <c r="T32" i="1" l="1"/>
  <c r="T74" i="1" s="1"/>
  <c r="Z33" i="1"/>
  <c r="X32" i="1"/>
  <c r="U32" i="1"/>
  <c r="U74" i="1" s="1"/>
  <c r="S32" i="1"/>
  <c r="S74" i="1" s="1"/>
  <c r="AB27" i="1"/>
  <c r="AC27" i="1" s="1"/>
  <c r="Q29" i="1"/>
  <c r="Z76" i="1"/>
  <c r="Z107" i="1" s="1"/>
  <c r="Q69" i="1"/>
  <c r="S71" i="1"/>
  <c r="S101" i="1"/>
  <c r="Y95" i="1"/>
  <c r="Y108" i="1" s="1"/>
  <c r="T71" i="1"/>
  <c r="T101" i="1"/>
  <c r="U71" i="1"/>
  <c r="U101" i="1"/>
  <c r="W75" i="1"/>
  <c r="R71" i="1"/>
  <c r="R101" i="1"/>
  <c r="Q105" i="1"/>
  <c r="X75" i="1"/>
  <c r="Y76" i="1"/>
  <c r="Y107" i="1" s="1"/>
  <c r="X95" i="1"/>
  <c r="X108" i="1" s="1"/>
  <c r="AC104" i="1"/>
  <c r="Q81" i="1"/>
  <c r="Z95" i="1"/>
  <c r="Z108" i="1" s="1"/>
  <c r="V95" i="1"/>
  <c r="V108" i="1" s="1"/>
  <c r="S95" i="1"/>
  <c r="S108" i="1" s="1"/>
  <c r="R95" i="1"/>
  <c r="R108" i="1" s="1"/>
  <c r="S33" i="1"/>
  <c r="T33" i="1"/>
  <c r="Z34" i="1"/>
  <c r="V33" i="1"/>
  <c r="U33" i="1"/>
  <c r="Y33" i="1"/>
  <c r="W34" i="1"/>
  <c r="X34" i="1" l="1"/>
  <c r="X74" i="1"/>
  <c r="R33" i="1"/>
  <c r="R32" i="1"/>
  <c r="R74" i="1" s="1"/>
  <c r="Q32" i="1"/>
  <c r="T34" i="1"/>
  <c r="AC106" i="1"/>
  <c r="AB29" i="1"/>
  <c r="AC29" i="1" s="1"/>
  <c r="T75" i="1"/>
  <c r="W76" i="1"/>
  <c r="W107" i="1" s="1"/>
  <c r="U75" i="1"/>
  <c r="Q101" i="1"/>
  <c r="Q71" i="1"/>
  <c r="X76" i="1"/>
  <c r="X107" i="1" s="1"/>
  <c r="S75" i="1"/>
  <c r="V75" i="1"/>
  <c r="U34" i="1"/>
  <c r="V34" i="1"/>
  <c r="Q95" i="1"/>
  <c r="Q108" i="1" s="1"/>
  <c r="S34" i="1"/>
  <c r="AB33" i="1"/>
  <c r="AC33" i="1" s="1"/>
  <c r="Y34" i="1"/>
  <c r="R34" i="1" l="1"/>
  <c r="AB32" i="1"/>
  <c r="AC32" i="1" s="1"/>
  <c r="Q34" i="1"/>
  <c r="AB34" i="1" s="1"/>
  <c r="AC34" i="1" s="1"/>
  <c r="Q74" i="1"/>
  <c r="Q76" i="1" s="1"/>
  <c r="Q107" i="1" s="1"/>
  <c r="V76" i="1"/>
  <c r="V107" i="1" s="1"/>
  <c r="U76" i="1"/>
  <c r="U107" i="1" s="1"/>
  <c r="R75" i="1"/>
  <c r="S76" i="1"/>
  <c r="S107" i="1" s="1"/>
  <c r="AC101" i="1"/>
  <c r="T76" i="1"/>
  <c r="T107" i="1" s="1"/>
  <c r="R76" i="1" l="1"/>
  <c r="R45" i="1"/>
  <c r="U45" i="1"/>
  <c r="R107" i="1" l="1"/>
  <c r="R53" i="1"/>
  <c r="R54" i="1" s="1"/>
  <c r="U53" i="1"/>
  <c r="U54" i="1" s="1"/>
  <c r="T45" i="1"/>
  <c r="V45" i="1"/>
  <c r="S45" i="1"/>
  <c r="Y45" i="1"/>
  <c r="W45" i="1"/>
  <c r="X45" i="1"/>
  <c r="Z45" i="1"/>
  <c r="AC107" i="1" l="1"/>
  <c r="Y53" i="1"/>
  <c r="Y54" i="1" s="1"/>
  <c r="X53" i="1"/>
  <c r="X54" i="1" s="1"/>
  <c r="V53" i="1"/>
  <c r="V54" i="1" s="1"/>
  <c r="Z53" i="1"/>
  <c r="Z54" i="1" s="1"/>
  <c r="S53" i="1"/>
  <c r="S54" i="1" s="1"/>
  <c r="W53" i="1"/>
  <c r="W54" i="1" s="1"/>
  <c r="T53" i="1"/>
  <c r="T54" i="1" s="1"/>
  <c r="Q45" i="1"/>
  <c r="AC105" i="1" l="1"/>
  <c r="AB45" i="1"/>
  <c r="AC45" i="1" s="1"/>
  <c r="Q53" i="1"/>
  <c r="Q54" i="1" s="1"/>
  <c r="AB53" i="1" l="1"/>
  <c r="AC53" i="1" s="1"/>
  <c r="R109" i="1" l="1"/>
  <c r="V109" i="1"/>
  <c r="S109" i="1"/>
  <c r="W109" i="1"/>
  <c r="T109" i="1"/>
  <c r="U109" i="1"/>
  <c r="Q109" i="1"/>
  <c r="T112" i="1" l="1"/>
  <c r="R112" i="1"/>
  <c r="W112" i="1"/>
  <c r="S112" i="1"/>
  <c r="U112" i="1"/>
  <c r="V112" i="1"/>
  <c r="Q112" i="1"/>
  <c r="X109" i="1"/>
  <c r="X112" i="1" l="1"/>
  <c r="Y109" i="1" l="1"/>
  <c r="Z109" i="1"/>
  <c r="Q113" i="1"/>
  <c r="R113" i="1" s="1"/>
  <c r="S113" i="1" s="1"/>
  <c r="T113" i="1" s="1"/>
  <c r="U113" i="1" s="1"/>
  <c r="V113" i="1" s="1"/>
  <c r="W113" i="1" s="1"/>
  <c r="Z112" i="1" l="1"/>
  <c r="Y112" i="1"/>
  <c r="AC108" i="1"/>
  <c r="AB54" i="1"/>
  <c r="AC54" i="1" s="1"/>
  <c r="X113" i="1" l="1"/>
  <c r="Y113" i="1" s="1"/>
  <c r="Z113" i="1" l="1"/>
</calcChain>
</file>

<file path=xl/sharedStrings.xml><?xml version="1.0" encoding="utf-8"?>
<sst xmlns="http://schemas.openxmlformats.org/spreadsheetml/2006/main" count="210" uniqueCount="112">
  <si>
    <t>Year 1</t>
  </si>
  <si>
    <t>Year 2</t>
  </si>
  <si>
    <t>Year 3</t>
  </si>
  <si>
    <t>Year 4</t>
  </si>
  <si>
    <t>Year 5</t>
  </si>
  <si>
    <t>Total</t>
  </si>
  <si>
    <t>NPV Results calculation</t>
  </si>
  <si>
    <t>Notes</t>
  </si>
  <si>
    <t>Apportionment</t>
  </si>
  <si>
    <t>Mid-year discount factor</t>
  </si>
  <si>
    <t>Cash flow (£k)</t>
  </si>
  <si>
    <t>Cash flow Present Value (£K)</t>
  </si>
  <si>
    <t>Cumulative NPV (£K)</t>
  </si>
  <si>
    <t>Year 6</t>
  </si>
  <si>
    <t>Year 7</t>
  </si>
  <si>
    <t>Year 8</t>
  </si>
  <si>
    <t>Year 9</t>
  </si>
  <si>
    <t>Year 10</t>
  </si>
  <si>
    <t>Chamber Operational costs</t>
  </si>
  <si>
    <t>Project management</t>
  </si>
  <si>
    <t>Design engineering</t>
  </si>
  <si>
    <t>Commissioning &amp; Trials team</t>
  </si>
  <si>
    <t>Cost of sales</t>
  </si>
  <si>
    <t>Management &amp; Marketing</t>
  </si>
  <si>
    <t>Total (£k)</t>
  </si>
  <si>
    <t>Annual rate (£)</t>
  </si>
  <si>
    <t>Subtotal</t>
  </si>
  <si>
    <t>Special Tools &amp; Test Equipment (STTE)</t>
  </si>
  <si>
    <t>Potential unit sales per year</t>
  </si>
  <si>
    <t>Modelled rate</t>
  </si>
  <si>
    <t>Unit manufacturing cost (£K)</t>
  </si>
  <si>
    <t>Sales conversion rate</t>
  </si>
  <si>
    <t>6 Off Prototype units</t>
  </si>
  <si>
    <t>Chamber Operational costs (2 years)</t>
  </si>
  <si>
    <t>Chamber ops cost per day (£K)</t>
  </si>
  <si>
    <t>Sales window (yrs)</t>
  </si>
  <si>
    <t xml:space="preserve">Sales </t>
  </si>
  <si>
    <t>Production cost</t>
  </si>
  <si>
    <t>Production yield risk @5%</t>
  </si>
  <si>
    <t>Corporation Tax</t>
  </si>
  <si>
    <t>Unit selling price (£K)</t>
  </si>
  <si>
    <t>Sales rate risk @20%</t>
  </si>
  <si>
    <t>Check</t>
  </si>
  <si>
    <t>Risk of project slip to sales - Year 4</t>
  </si>
  <si>
    <t>Sales and operational risks</t>
  </si>
  <si>
    <t>Project Impacts calculated by year</t>
  </si>
  <si>
    <t>Other Project Assumptions</t>
  </si>
  <si>
    <t>Quantified Assumptions</t>
  </si>
  <si>
    <t>The unit's production design will not need adaptation for different customers</t>
  </si>
  <si>
    <t>Operating profit on sales</t>
  </si>
  <si>
    <t xml:space="preserve">Project delivery costs (other than capital assets) will be written down against profits from production sales </t>
  </si>
  <si>
    <t>Sales value net of risk</t>
  </si>
  <si>
    <t>Sales rate risk (£k)</t>
  </si>
  <si>
    <t>Base cost of sales (£k)</t>
  </si>
  <si>
    <t>Base sales forecast (£k)</t>
  </si>
  <si>
    <t>Operations risk (£k)</t>
  </si>
  <si>
    <t>Base sales forecast</t>
  </si>
  <si>
    <t>Tax on profit</t>
  </si>
  <si>
    <t xml:space="preserve">Total </t>
  </si>
  <si>
    <t>Tax on  profit</t>
  </si>
  <si>
    <t>2. Sales rate risk - Provision for 20% loss of overall market due to slippage of customer projects</t>
  </si>
  <si>
    <t>3. Risk of slip to project delivery into Year 4 - provision for consequent loss of 50% of sales forecasts for Year 4</t>
  </si>
  <si>
    <t>4. Production yield risk - provision for 5% remake rate following production test</t>
  </si>
  <si>
    <t>Project-specific Risk</t>
  </si>
  <si>
    <t>1. Project delivery risk - includes risk of delay into Year 4 caused by additional design and test cycle</t>
  </si>
  <si>
    <t>Tax on profits (£k)</t>
  </si>
  <si>
    <t>R&amp;D Tax credit rate</t>
  </si>
  <si>
    <t>R&amp;D Tax credits</t>
  </si>
  <si>
    <t>Tax reliefs and credits (£k)</t>
  </si>
  <si>
    <t>Discount rate (WACC)</t>
  </si>
  <si>
    <t>Inflation</t>
  </si>
  <si>
    <t>Project Impacts - Constant Cost</t>
  </si>
  <si>
    <t>Project Impacts - With inflation</t>
  </si>
  <si>
    <t>Effect of inflation @ 3%</t>
  </si>
  <si>
    <t>Development units (6 Off)</t>
  </si>
  <si>
    <t>Project Implementation Costs</t>
  </si>
  <si>
    <t>Project Impementation risk</t>
  </si>
  <si>
    <t>Project Implementation Cost Tax reliefs</t>
  </si>
  <si>
    <t>Project Implementation risk</t>
  </si>
  <si>
    <t>Base project Imp' cost (£k)</t>
  </si>
  <si>
    <t>Project implementation (yrs)</t>
  </si>
  <si>
    <t>Base project Imp' cost</t>
  </si>
  <si>
    <t>Sales rate risk</t>
  </si>
  <si>
    <t>Base cost of sales</t>
  </si>
  <si>
    <t>Operations risk</t>
  </si>
  <si>
    <t>Tax reliefs and credits</t>
  </si>
  <si>
    <t>Tax on profits</t>
  </si>
  <si>
    <t>Cash flow Present Value</t>
  </si>
  <si>
    <t>Cumulative NPV</t>
  </si>
  <si>
    <t>a</t>
  </si>
  <si>
    <t>b</t>
  </si>
  <si>
    <t>c</t>
  </si>
  <si>
    <t>d</t>
  </si>
  <si>
    <t>e</t>
  </si>
  <si>
    <t>f</t>
  </si>
  <si>
    <t>g</t>
  </si>
  <si>
    <t>h</t>
  </si>
  <si>
    <t>Project Imp' risk (£k)</t>
  </si>
  <si>
    <t>Project implementation risk</t>
  </si>
  <si>
    <t>Net Cash flow = c+g-a-b-d-e-f-h</t>
  </si>
  <si>
    <t>NPV Results calculation (£k)</t>
  </si>
  <si>
    <t>Sales will be sustained at a constant rate, commencing from completion of the project implementation phase</t>
  </si>
  <si>
    <r>
      <t xml:space="preserve">1. For numerical cells, Black bold font represents the </t>
    </r>
    <r>
      <rPr>
        <b/>
        <sz val="11"/>
        <color theme="1"/>
        <rFont val="Calibri"/>
        <family val="2"/>
        <scheme val="minor"/>
      </rPr>
      <t>NPV model inputs</t>
    </r>
    <r>
      <rPr>
        <sz val="11"/>
        <color theme="1"/>
        <rFont val="Calibri"/>
        <family val="2"/>
        <scheme val="minor"/>
      </rPr>
      <t>. Non-bold font numerical cells are calculated.</t>
    </r>
  </si>
  <si>
    <t>3. Check cells are designed to identify errors and will be filled light red in the event of an error being detected</t>
  </si>
  <si>
    <t xml:space="preserve">4. The model's cost apportionment inputs are contained in the hidden colums D - O </t>
  </si>
  <si>
    <t>Model 4.2</t>
  </si>
  <si>
    <t>Implementation costs tax relief</t>
  </si>
  <si>
    <t>Year 11</t>
  </si>
  <si>
    <r>
      <t xml:space="preserve">2. Purple bold font represents the </t>
    </r>
    <r>
      <rPr>
        <b/>
        <sz val="11"/>
        <color rgb="FF7030A0"/>
        <rFont val="Calibri"/>
        <family val="2"/>
        <scheme val="minor"/>
      </rPr>
      <t>NPV Model output</t>
    </r>
    <r>
      <rPr>
        <sz val="11"/>
        <color theme="1"/>
        <rFont val="Calibri"/>
        <family val="2"/>
        <scheme val="minor"/>
      </rPr>
      <t xml:space="preserve"> (at Cell AB114)</t>
    </r>
  </si>
  <si>
    <t>Space Industry Development and Production Project - Net Present Value Model (with peer review changes, including effects of inflation)</t>
  </si>
  <si>
    <t>5. This is a variant of model 4.1 which incorporates peer review changes including the modelling of inflation effects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</si>
  <si>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Gower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</si>
</sst>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#,##0_ ;\-#,##0\ "/>
    <numFmt numFmtId="167" formatCode="0.0%"/>
    <numFmt numFmtId="168" formatCode="0.0000"/>
    <numFmt numFmtId="169" formatCode="_-* #,##0.000_-;\-* #,##0.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4" fillId="0" borderId="0" xfId="1" applyNumberFormat="1" applyFont="1" applyBorder="1"/>
    <xf numFmtId="164" fontId="0" fillId="0" borderId="4" xfId="0" applyNumberFormat="1" applyBorder="1"/>
    <xf numFmtId="164" fontId="2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0" borderId="0" xfId="1" applyNumberFormat="1" applyFont="1" applyBorder="1"/>
    <xf numFmtId="0" fontId="0" fillId="0" borderId="4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5" fillId="0" borderId="0" xfId="0" applyFont="1"/>
    <xf numFmtId="0" fontId="3" fillId="0" borderId="0" xfId="0" applyFont="1" applyFill="1" applyBorder="1" applyAlignment="1">
      <alignment vertical="center"/>
    </xf>
    <xf numFmtId="164" fontId="6" fillId="0" borderId="5" xfId="0" applyNumberFormat="1" applyFont="1" applyBorder="1"/>
    <xf numFmtId="0" fontId="3" fillId="0" borderId="1" xfId="0" applyFont="1" applyBorder="1"/>
    <xf numFmtId="165" fontId="0" fillId="0" borderId="0" xfId="0" applyNumberFormat="1" applyBorder="1"/>
    <xf numFmtId="0" fontId="3" fillId="0" borderId="5" xfId="0" applyFont="1" applyBorder="1" applyAlignment="1">
      <alignment horizontal="center"/>
    </xf>
    <xf numFmtId="164" fontId="3" fillId="0" borderId="5" xfId="1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0" fontId="0" fillId="0" borderId="4" xfId="0" applyFill="1" applyBorder="1"/>
    <xf numFmtId="0" fontId="3" fillId="0" borderId="2" xfId="0" applyFont="1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3" fillId="0" borderId="0" xfId="0" applyFont="1"/>
    <xf numFmtId="164" fontId="1" fillId="0" borderId="5" xfId="1" applyNumberFormat="1" applyFont="1" applyBorder="1"/>
    <xf numFmtId="0" fontId="0" fillId="0" borderId="0" xfId="0" applyBorder="1" applyAlignment="1">
      <alignment horizontal="right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0" fontId="0" fillId="0" borderId="0" xfId="0" applyFont="1"/>
    <xf numFmtId="0" fontId="3" fillId="0" borderId="0" xfId="0" applyFont="1" applyAlignment="1">
      <alignment horizontal="right"/>
    </xf>
    <xf numFmtId="1" fontId="0" fillId="0" borderId="0" xfId="0" applyNumberFormat="1" applyBorder="1"/>
    <xf numFmtId="0" fontId="0" fillId="0" borderId="4" xfId="0" applyBorder="1" applyAlignment="1">
      <alignment horizontal="left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6" fontId="0" fillId="0" borderId="0" xfId="0" applyNumberFormat="1" applyBorder="1"/>
    <xf numFmtId="164" fontId="1" fillId="0" borderId="0" xfId="1" applyNumberFormat="1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/>
    <xf numFmtId="2" fontId="0" fillId="0" borderId="0" xfId="0" applyNumberFormat="1" applyBorder="1" applyAlignment="1">
      <alignment horizontal="center"/>
    </xf>
    <xf numFmtId="9" fontId="0" fillId="0" borderId="0" xfId="0" applyNumberFormat="1" applyBorder="1"/>
    <xf numFmtId="164" fontId="3" fillId="0" borderId="8" xfId="1" applyNumberFormat="1" applyFon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2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7" fillId="0" borderId="0" xfId="0" applyFont="1"/>
    <xf numFmtId="0" fontId="3" fillId="0" borderId="4" xfId="0" applyFont="1" applyFill="1" applyBorder="1" applyAlignment="1">
      <alignment horizontal="left"/>
    </xf>
    <xf numFmtId="167" fontId="3" fillId="0" borderId="0" xfId="0" applyNumberFormat="1" applyFont="1"/>
    <xf numFmtId="168" fontId="0" fillId="0" borderId="4" xfId="0" applyNumberFormat="1" applyBorder="1"/>
    <xf numFmtId="168" fontId="0" fillId="0" borderId="0" xfId="0" applyNumberFormat="1" applyBorder="1"/>
    <xf numFmtId="43" fontId="0" fillId="0" borderId="0" xfId="0" applyNumberFormat="1" applyBorder="1"/>
    <xf numFmtId="0" fontId="0" fillId="0" borderId="4" xfId="0" applyBorder="1" applyAlignment="1">
      <alignment horizontal="center"/>
    </xf>
    <xf numFmtId="164" fontId="8" fillId="0" borderId="5" xfId="0" applyNumberFormat="1" applyFont="1" applyBorder="1"/>
    <xf numFmtId="169" fontId="0" fillId="0" borderId="0" xfId="0" applyNumberFormat="1" applyBorder="1"/>
  </cellXfs>
  <cellStyles count="2">
    <cellStyle name="Comma" xfId="1" builtinId="3"/>
    <cellStyle name="Normal" xfId="0" builtinId="0"/>
  </cellStyles>
  <dxfs count="8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38100</xdr:colOff>
          <xdr:row>2</xdr:row>
          <xdr:rowOff>133350</xdr:rowOff>
        </xdr:to>
        <xdr:sp macro="" textlink="">
          <xdr:nvSpPr>
            <xdr:cNvPr id="4120" name="PAGEOPTIONS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438150</xdr:colOff>
          <xdr:row>2</xdr:row>
          <xdr:rowOff>133350</xdr:rowOff>
        </xdr:to>
        <xdr:sp macro="" textlink="">
          <xdr:nvSpPr>
            <xdr:cNvPr id="4121" name="SIMXXXCACHE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121"/>
  <sheetViews>
    <sheetView tabSelected="1" workbookViewId="0">
      <selection activeCell="B1" sqref="B1"/>
    </sheetView>
  </sheetViews>
  <sheetFormatPr defaultRowHeight="15" x14ac:dyDescent="0.25"/>
  <cols>
    <col min="1" max="1" width="27.85546875" customWidth="1"/>
    <col min="2" max="2" width="14.5703125" customWidth="1"/>
    <col min="3" max="3" width="10.140625" customWidth="1"/>
    <col min="4" max="4" width="2.7109375" hidden="1" customWidth="1"/>
    <col min="5" max="15" width="8" hidden="1" customWidth="1"/>
    <col min="16" max="16" width="2.5703125" customWidth="1"/>
    <col min="17" max="28" width="9.5703125" customWidth="1"/>
    <col min="29" max="29" width="6.7109375" customWidth="1"/>
    <col min="30" max="30" width="9.140625" customWidth="1"/>
  </cols>
  <sheetData>
    <row r="1" spans="1:17" ht="15.75" x14ac:dyDescent="0.25">
      <c r="A1" s="23" t="s">
        <v>105</v>
      </c>
      <c r="B1" t="s">
        <v>111</v>
      </c>
    </row>
    <row r="2" spans="1:17" ht="21.75" customHeight="1" x14ac:dyDescent="0.25">
      <c r="A2" s="67" t="s">
        <v>109</v>
      </c>
    </row>
    <row r="4" spans="1:17" x14ac:dyDescent="0.25">
      <c r="A4" s="42" t="s">
        <v>47</v>
      </c>
      <c r="B4" s="45" t="s">
        <v>29</v>
      </c>
      <c r="Q4" s="42" t="s">
        <v>46</v>
      </c>
    </row>
    <row r="5" spans="1:17" x14ac:dyDescent="0.25">
      <c r="A5" s="47" t="s">
        <v>80</v>
      </c>
      <c r="B5" s="48">
        <v>3</v>
      </c>
      <c r="Q5" t="s">
        <v>48</v>
      </c>
    </row>
    <row r="6" spans="1:17" x14ac:dyDescent="0.25">
      <c r="A6" s="47" t="s">
        <v>35</v>
      </c>
      <c r="B6" s="48">
        <v>7</v>
      </c>
      <c r="Q6" t="s">
        <v>101</v>
      </c>
    </row>
    <row r="7" spans="1:17" x14ac:dyDescent="0.25">
      <c r="A7" t="s">
        <v>30</v>
      </c>
      <c r="B7" s="42">
        <v>200</v>
      </c>
      <c r="Q7" t="s">
        <v>50</v>
      </c>
    </row>
    <row r="8" spans="1:17" x14ac:dyDescent="0.25">
      <c r="A8" t="s">
        <v>40</v>
      </c>
      <c r="B8" s="42">
        <v>700</v>
      </c>
    </row>
    <row r="9" spans="1:17" x14ac:dyDescent="0.25">
      <c r="A9" t="s">
        <v>28</v>
      </c>
      <c r="B9" s="42">
        <v>20</v>
      </c>
      <c r="Q9" s="42" t="s">
        <v>63</v>
      </c>
    </row>
    <row r="10" spans="1:17" x14ac:dyDescent="0.25">
      <c r="A10" t="s">
        <v>31</v>
      </c>
      <c r="B10" s="46">
        <v>0.6</v>
      </c>
      <c r="Q10" t="s">
        <v>64</v>
      </c>
    </row>
    <row r="11" spans="1:17" x14ac:dyDescent="0.25">
      <c r="A11" t="s">
        <v>34</v>
      </c>
      <c r="B11" s="42">
        <v>1.52</v>
      </c>
      <c r="Q11" t="s">
        <v>60</v>
      </c>
    </row>
    <row r="12" spans="1:17" x14ac:dyDescent="0.25">
      <c r="A12" t="s">
        <v>39</v>
      </c>
      <c r="B12" s="46">
        <v>0.2</v>
      </c>
      <c r="Q12" t="s">
        <v>61</v>
      </c>
    </row>
    <row r="13" spans="1:17" x14ac:dyDescent="0.25">
      <c r="A13" t="s">
        <v>66</v>
      </c>
      <c r="B13" s="46">
        <v>0.11</v>
      </c>
      <c r="Q13" t="s">
        <v>62</v>
      </c>
    </row>
    <row r="14" spans="1:17" x14ac:dyDescent="0.25">
      <c r="A14" t="s">
        <v>69</v>
      </c>
      <c r="B14" s="69">
        <v>0.13</v>
      </c>
    </row>
    <row r="15" spans="1:17" x14ac:dyDescent="0.25">
      <c r="A15" t="s">
        <v>70</v>
      </c>
      <c r="B15" s="69">
        <v>0.03</v>
      </c>
    </row>
    <row r="17" spans="1:29" x14ac:dyDescent="0.25">
      <c r="A17" s="26" t="s">
        <v>71</v>
      </c>
      <c r="B17" s="34"/>
      <c r="C17" s="3"/>
      <c r="D17" s="5"/>
      <c r="E17" s="26" t="s">
        <v>8</v>
      </c>
      <c r="F17" s="2"/>
      <c r="G17" s="2"/>
      <c r="H17" s="2"/>
      <c r="I17" s="2"/>
      <c r="J17" s="2"/>
      <c r="K17" s="2"/>
      <c r="L17" s="2"/>
      <c r="M17" s="2"/>
      <c r="N17" s="3"/>
      <c r="O17" s="5"/>
      <c r="P17" s="5"/>
      <c r="Q17" s="26" t="s">
        <v>45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  <c r="AC17" s="5"/>
    </row>
    <row r="18" spans="1:29" x14ac:dyDescent="0.25">
      <c r="A18" s="4"/>
      <c r="B18" s="5"/>
      <c r="C18" s="6"/>
      <c r="D18" s="14"/>
      <c r="E18" s="10" t="s">
        <v>0</v>
      </c>
      <c r="F18" s="1" t="s">
        <v>1</v>
      </c>
      <c r="G18" s="1" t="s">
        <v>2</v>
      </c>
      <c r="H18" s="1" t="s">
        <v>3</v>
      </c>
      <c r="I18" s="1" t="s">
        <v>4</v>
      </c>
      <c r="J18" s="1" t="s">
        <v>13</v>
      </c>
      <c r="K18" s="1" t="s">
        <v>14</v>
      </c>
      <c r="L18" s="1" t="s">
        <v>15</v>
      </c>
      <c r="M18" s="1" t="s">
        <v>16</v>
      </c>
      <c r="N18" s="11" t="s">
        <v>17</v>
      </c>
      <c r="O18" s="1" t="s">
        <v>42</v>
      </c>
      <c r="P18" s="5"/>
      <c r="Q18" s="10" t="s">
        <v>0</v>
      </c>
      <c r="R18" s="1" t="s">
        <v>1</v>
      </c>
      <c r="S18" s="1" t="s">
        <v>2</v>
      </c>
      <c r="T18" s="1" t="s">
        <v>3</v>
      </c>
      <c r="U18" s="1" t="s">
        <v>4</v>
      </c>
      <c r="V18" s="1" t="s">
        <v>13</v>
      </c>
      <c r="W18" s="1" t="s">
        <v>14</v>
      </c>
      <c r="X18" s="1" t="s">
        <v>15</v>
      </c>
      <c r="Y18" s="1" t="s">
        <v>16</v>
      </c>
      <c r="Z18" s="1" t="s">
        <v>17</v>
      </c>
      <c r="AA18" s="1" t="s">
        <v>107</v>
      </c>
      <c r="AB18" s="11" t="s">
        <v>5</v>
      </c>
      <c r="AC18" s="1" t="s">
        <v>42</v>
      </c>
    </row>
    <row r="19" spans="1:29" ht="6.75" customHeight="1" x14ac:dyDescent="0.25">
      <c r="A19" s="4"/>
      <c r="B19" s="5"/>
      <c r="C19" s="6"/>
      <c r="D19" s="5"/>
      <c r="E19" s="4"/>
      <c r="F19" s="5"/>
      <c r="G19" s="5"/>
      <c r="H19" s="5"/>
      <c r="I19" s="5"/>
      <c r="J19" s="5"/>
      <c r="K19" s="5"/>
      <c r="L19" s="5"/>
      <c r="M19" s="5"/>
      <c r="N19" s="6"/>
      <c r="O19" s="5"/>
      <c r="P19" s="5"/>
      <c r="Q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6"/>
      <c r="AC19" s="5"/>
    </row>
    <row r="20" spans="1:29" ht="16.5" customHeight="1" x14ac:dyDescent="0.25">
      <c r="A20" s="32" t="s">
        <v>75</v>
      </c>
      <c r="B20" s="35"/>
      <c r="C20" s="28" t="s">
        <v>24</v>
      </c>
      <c r="D20" s="5"/>
      <c r="E20" s="4"/>
      <c r="F20" s="5"/>
      <c r="G20" s="5"/>
      <c r="H20" s="5"/>
      <c r="I20" s="5"/>
      <c r="J20" s="5"/>
      <c r="K20" s="5"/>
      <c r="L20" s="5"/>
      <c r="M20" s="5"/>
      <c r="N20" s="6"/>
      <c r="O20" s="5"/>
      <c r="P20" s="5"/>
      <c r="Q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6"/>
      <c r="AC20" s="5"/>
    </row>
    <row r="21" spans="1:29" x14ac:dyDescent="0.25">
      <c r="A21" s="4" t="s">
        <v>19</v>
      </c>
      <c r="B21" s="5"/>
      <c r="C21" s="29">
        <v>1200</v>
      </c>
      <c r="D21" s="15"/>
      <c r="E21" s="30">
        <f>1/3</f>
        <v>0.33333333333333331</v>
      </c>
      <c r="F21" s="31">
        <f>1/3</f>
        <v>0.33333333333333331</v>
      </c>
      <c r="G21" s="31">
        <v>0.33333333333333331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63">
        <v>0</v>
      </c>
      <c r="O21" s="57">
        <f>SUM(E21:N21)</f>
        <v>1</v>
      </c>
      <c r="P21" s="5"/>
      <c r="Q21" s="16">
        <f t="shared" ref="Q21:Z28" si="0">$C21*E21</f>
        <v>400</v>
      </c>
      <c r="R21" s="12">
        <f t="shared" si="0"/>
        <v>400</v>
      </c>
      <c r="S21" s="12">
        <f t="shared" si="0"/>
        <v>400</v>
      </c>
      <c r="T21" s="12">
        <f t="shared" si="0"/>
        <v>0</v>
      </c>
      <c r="U21" s="12">
        <f t="shared" si="0"/>
        <v>0</v>
      </c>
      <c r="V21" s="12">
        <f t="shared" si="0"/>
        <v>0</v>
      </c>
      <c r="W21" s="12">
        <f t="shared" si="0"/>
        <v>0</v>
      </c>
      <c r="X21" s="12">
        <f t="shared" si="0"/>
        <v>0</v>
      </c>
      <c r="Y21" s="12">
        <f t="shared" si="0"/>
        <v>0</v>
      </c>
      <c r="Z21" s="12">
        <f t="shared" si="0"/>
        <v>0</v>
      </c>
      <c r="AA21" s="12">
        <v>0</v>
      </c>
      <c r="AB21" s="13">
        <f>SUM(Q21:Z21)</f>
        <v>1200</v>
      </c>
      <c r="AC21" s="53">
        <f t="shared" ref="AC21:AC29" si="1">AB21-C21</f>
        <v>0</v>
      </c>
    </row>
    <row r="22" spans="1:29" x14ac:dyDescent="0.25">
      <c r="A22" s="4" t="s">
        <v>20</v>
      </c>
      <c r="B22" s="5"/>
      <c r="C22" s="29">
        <v>2800</v>
      </c>
      <c r="D22" s="15"/>
      <c r="E22" s="30">
        <v>0.5</v>
      </c>
      <c r="F22" s="31">
        <v>0.3</v>
      </c>
      <c r="G22" s="31">
        <v>0.2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63">
        <v>0</v>
      </c>
      <c r="O22" s="57">
        <f t="shared" ref="O22:O28" si="2">SUM(E22:N22)</f>
        <v>1</v>
      </c>
      <c r="P22" s="5"/>
      <c r="Q22" s="16">
        <f t="shared" si="0"/>
        <v>1400</v>
      </c>
      <c r="R22" s="12">
        <f t="shared" si="0"/>
        <v>840</v>
      </c>
      <c r="S22" s="12">
        <f t="shared" si="0"/>
        <v>560</v>
      </c>
      <c r="T22" s="12">
        <f t="shared" si="0"/>
        <v>0</v>
      </c>
      <c r="U22" s="12">
        <f t="shared" si="0"/>
        <v>0</v>
      </c>
      <c r="V22" s="12">
        <f t="shared" si="0"/>
        <v>0</v>
      </c>
      <c r="W22" s="12">
        <f t="shared" si="0"/>
        <v>0</v>
      </c>
      <c r="X22" s="12">
        <f t="shared" si="0"/>
        <v>0</v>
      </c>
      <c r="Y22" s="12">
        <f t="shared" si="0"/>
        <v>0</v>
      </c>
      <c r="Z22" s="12">
        <f t="shared" si="0"/>
        <v>0</v>
      </c>
      <c r="AA22" s="12">
        <v>0</v>
      </c>
      <c r="AB22" s="13">
        <f t="shared" ref="AB22:AB28" si="3">SUM(Q22:Z22)</f>
        <v>2800</v>
      </c>
      <c r="AC22" s="53">
        <f t="shared" si="1"/>
        <v>0</v>
      </c>
    </row>
    <row r="23" spans="1:29" x14ac:dyDescent="0.25">
      <c r="A23" s="4" t="s">
        <v>74</v>
      </c>
      <c r="B23" s="5"/>
      <c r="C23" s="43">
        <f>B7*6</f>
        <v>1200</v>
      </c>
      <c r="D23" s="15"/>
      <c r="E23" s="30">
        <v>0.5</v>
      </c>
      <c r="F23" s="31">
        <v>0.5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63">
        <v>0</v>
      </c>
      <c r="O23" s="57">
        <f t="shared" si="2"/>
        <v>1</v>
      </c>
      <c r="P23" s="5"/>
      <c r="Q23" s="16">
        <f t="shared" si="0"/>
        <v>600</v>
      </c>
      <c r="R23" s="12">
        <f t="shared" si="0"/>
        <v>600</v>
      </c>
      <c r="S23" s="12">
        <f t="shared" si="0"/>
        <v>0</v>
      </c>
      <c r="T23" s="12">
        <f t="shared" si="0"/>
        <v>0</v>
      </c>
      <c r="U23" s="12">
        <f t="shared" si="0"/>
        <v>0</v>
      </c>
      <c r="V23" s="12">
        <f t="shared" si="0"/>
        <v>0</v>
      </c>
      <c r="W23" s="12">
        <f t="shared" si="0"/>
        <v>0</v>
      </c>
      <c r="X23" s="12">
        <f t="shared" si="0"/>
        <v>0</v>
      </c>
      <c r="Y23" s="12">
        <f t="shared" si="0"/>
        <v>0</v>
      </c>
      <c r="Z23" s="12">
        <f t="shared" si="0"/>
        <v>0</v>
      </c>
      <c r="AA23" s="12">
        <v>0</v>
      </c>
      <c r="AB23" s="13">
        <f t="shared" si="3"/>
        <v>1200</v>
      </c>
      <c r="AC23" s="53">
        <f t="shared" si="1"/>
        <v>0</v>
      </c>
    </row>
    <row r="24" spans="1:29" x14ac:dyDescent="0.25">
      <c r="A24" s="4" t="s">
        <v>27</v>
      </c>
      <c r="B24" s="5"/>
      <c r="C24" s="29">
        <v>1000</v>
      </c>
      <c r="D24" s="15"/>
      <c r="E24" s="30">
        <v>1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63">
        <v>0</v>
      </c>
      <c r="O24" s="57">
        <f t="shared" si="2"/>
        <v>1</v>
      </c>
      <c r="P24" s="5"/>
      <c r="Q24" s="16">
        <f t="shared" si="0"/>
        <v>1000</v>
      </c>
      <c r="R24" s="12">
        <f t="shared" si="0"/>
        <v>0</v>
      </c>
      <c r="S24" s="12">
        <f t="shared" si="0"/>
        <v>0</v>
      </c>
      <c r="T24" s="12">
        <f t="shared" si="0"/>
        <v>0</v>
      </c>
      <c r="U24" s="12">
        <f t="shared" si="0"/>
        <v>0</v>
      </c>
      <c r="V24" s="12">
        <f t="shared" si="0"/>
        <v>0</v>
      </c>
      <c r="W24" s="12">
        <f t="shared" si="0"/>
        <v>0</v>
      </c>
      <c r="X24" s="12">
        <f t="shared" si="0"/>
        <v>0</v>
      </c>
      <c r="Y24" s="12">
        <f t="shared" si="0"/>
        <v>0</v>
      </c>
      <c r="Z24" s="12">
        <f t="shared" si="0"/>
        <v>0</v>
      </c>
      <c r="AA24" s="12">
        <v>0</v>
      </c>
      <c r="AB24" s="13">
        <f t="shared" si="3"/>
        <v>1000</v>
      </c>
      <c r="AC24" s="53">
        <f t="shared" si="1"/>
        <v>0</v>
      </c>
    </row>
    <row r="25" spans="1:29" x14ac:dyDescent="0.25">
      <c r="A25" s="4" t="s">
        <v>21</v>
      </c>
      <c r="B25" s="5"/>
      <c r="C25" s="29">
        <v>3400</v>
      </c>
      <c r="D25" s="15"/>
      <c r="E25" s="30">
        <v>0.2</v>
      </c>
      <c r="F25" s="31">
        <v>0.5</v>
      </c>
      <c r="G25" s="31">
        <v>0.3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63">
        <v>0</v>
      </c>
      <c r="O25" s="57">
        <f t="shared" si="2"/>
        <v>1</v>
      </c>
      <c r="P25" s="5"/>
      <c r="Q25" s="16">
        <f t="shared" si="0"/>
        <v>680</v>
      </c>
      <c r="R25" s="12">
        <f t="shared" si="0"/>
        <v>1700</v>
      </c>
      <c r="S25" s="12">
        <f t="shared" si="0"/>
        <v>1020</v>
      </c>
      <c r="T25" s="12">
        <f t="shared" si="0"/>
        <v>0</v>
      </c>
      <c r="U25" s="12">
        <f t="shared" si="0"/>
        <v>0</v>
      </c>
      <c r="V25" s="12">
        <f t="shared" si="0"/>
        <v>0</v>
      </c>
      <c r="W25" s="12">
        <f t="shared" si="0"/>
        <v>0</v>
      </c>
      <c r="X25" s="12">
        <f t="shared" si="0"/>
        <v>0</v>
      </c>
      <c r="Y25" s="12">
        <f t="shared" si="0"/>
        <v>0</v>
      </c>
      <c r="Z25" s="12">
        <f t="shared" si="0"/>
        <v>0</v>
      </c>
      <c r="AA25" s="12">
        <v>0</v>
      </c>
      <c r="AB25" s="13">
        <f t="shared" si="3"/>
        <v>3400</v>
      </c>
      <c r="AC25" s="53">
        <f t="shared" si="1"/>
        <v>0</v>
      </c>
    </row>
    <row r="26" spans="1:29" x14ac:dyDescent="0.25">
      <c r="A26" s="4" t="s">
        <v>33</v>
      </c>
      <c r="B26" s="5"/>
      <c r="C26" s="43">
        <f>365.25*2*B11</f>
        <v>1110.3599999999999</v>
      </c>
      <c r="D26" s="15"/>
      <c r="E26" s="30">
        <v>0.2</v>
      </c>
      <c r="F26" s="31">
        <v>0.5</v>
      </c>
      <c r="G26" s="31">
        <v>0.3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63">
        <v>0</v>
      </c>
      <c r="O26" s="57">
        <f t="shared" si="2"/>
        <v>1</v>
      </c>
      <c r="P26" s="5"/>
      <c r="Q26" s="16">
        <f t="shared" si="0"/>
        <v>222.072</v>
      </c>
      <c r="R26" s="12">
        <f t="shared" si="0"/>
        <v>555.17999999999995</v>
      </c>
      <c r="S26" s="12">
        <f t="shared" si="0"/>
        <v>333.10799999999995</v>
      </c>
      <c r="T26" s="12">
        <f t="shared" si="0"/>
        <v>0</v>
      </c>
      <c r="U26" s="12">
        <f t="shared" si="0"/>
        <v>0</v>
      </c>
      <c r="V26" s="12">
        <f t="shared" si="0"/>
        <v>0</v>
      </c>
      <c r="W26" s="12">
        <f t="shared" si="0"/>
        <v>0</v>
      </c>
      <c r="X26" s="12">
        <f t="shared" si="0"/>
        <v>0</v>
      </c>
      <c r="Y26" s="12">
        <f t="shared" si="0"/>
        <v>0</v>
      </c>
      <c r="Z26" s="12">
        <f t="shared" si="0"/>
        <v>0</v>
      </c>
      <c r="AA26" s="12">
        <v>0</v>
      </c>
      <c r="AB26" s="13">
        <f>SUM(Q26:Z26)</f>
        <v>1110.3599999999999</v>
      </c>
      <c r="AC26" s="53">
        <f>AB26-C26</f>
        <v>0</v>
      </c>
    </row>
    <row r="27" spans="1:29" x14ac:dyDescent="0.25">
      <c r="A27" s="40" t="s">
        <v>26</v>
      </c>
      <c r="B27" s="5"/>
      <c r="C27" s="43">
        <f>SUM(C21:C26)</f>
        <v>10710.36</v>
      </c>
      <c r="D27" s="15"/>
      <c r="E27" s="30"/>
      <c r="F27" s="31"/>
      <c r="G27" s="31"/>
      <c r="H27" s="31"/>
      <c r="I27" s="31"/>
      <c r="J27" s="31"/>
      <c r="K27" s="31"/>
      <c r="L27" s="31"/>
      <c r="M27" s="31"/>
      <c r="N27" s="63"/>
      <c r="O27" s="57"/>
      <c r="P27" s="5"/>
      <c r="Q27" s="16">
        <f>SUM(Q21:Q26)</f>
        <v>4302.0720000000001</v>
      </c>
      <c r="R27" s="12">
        <f t="shared" ref="R27:AA27" si="4">SUM(R21:R26)</f>
        <v>4095.18</v>
      </c>
      <c r="S27" s="12">
        <f t="shared" si="4"/>
        <v>2313.1080000000002</v>
      </c>
      <c r="T27" s="12">
        <f t="shared" si="4"/>
        <v>0</v>
      </c>
      <c r="U27" s="12">
        <f t="shared" si="4"/>
        <v>0</v>
      </c>
      <c r="V27" s="12">
        <f t="shared" si="4"/>
        <v>0</v>
      </c>
      <c r="W27" s="12">
        <f t="shared" si="4"/>
        <v>0</v>
      </c>
      <c r="X27" s="12">
        <f t="shared" si="4"/>
        <v>0</v>
      </c>
      <c r="Y27" s="12">
        <f t="shared" si="4"/>
        <v>0</v>
      </c>
      <c r="Z27" s="12">
        <f t="shared" si="4"/>
        <v>0</v>
      </c>
      <c r="AA27" s="12">
        <f t="shared" si="4"/>
        <v>0</v>
      </c>
      <c r="AB27" s="13">
        <f>SUM(Q27:Z27)</f>
        <v>10710.36</v>
      </c>
      <c r="AC27" s="53">
        <f>AB27-C27</f>
        <v>0</v>
      </c>
    </row>
    <row r="28" spans="1:29" x14ac:dyDescent="0.25">
      <c r="A28" s="4" t="s">
        <v>76</v>
      </c>
      <c r="B28" s="5"/>
      <c r="C28" s="29">
        <v>4000</v>
      </c>
      <c r="D28" s="15"/>
      <c r="E28" s="30">
        <f>0.25/3</f>
        <v>8.3333333333333329E-2</v>
      </c>
      <c r="F28" s="31">
        <f>0.25/3</f>
        <v>8.3333333333333329E-2</v>
      </c>
      <c r="G28" s="31">
        <f>0.25/3</f>
        <v>8.3333333333333329E-2</v>
      </c>
      <c r="H28" s="31">
        <v>0.75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63">
        <v>0</v>
      </c>
      <c r="O28" s="57">
        <f t="shared" si="2"/>
        <v>1</v>
      </c>
      <c r="P28" s="5"/>
      <c r="Q28" s="16">
        <f t="shared" si="0"/>
        <v>333.33333333333331</v>
      </c>
      <c r="R28" s="12">
        <f t="shared" si="0"/>
        <v>333.33333333333331</v>
      </c>
      <c r="S28" s="12">
        <f t="shared" si="0"/>
        <v>333.33333333333331</v>
      </c>
      <c r="T28" s="12">
        <f t="shared" si="0"/>
        <v>3000</v>
      </c>
      <c r="U28" s="12">
        <f t="shared" si="0"/>
        <v>0</v>
      </c>
      <c r="V28" s="12">
        <f t="shared" si="0"/>
        <v>0</v>
      </c>
      <c r="W28" s="12">
        <f t="shared" si="0"/>
        <v>0</v>
      </c>
      <c r="X28" s="12">
        <f t="shared" si="0"/>
        <v>0</v>
      </c>
      <c r="Y28" s="12">
        <f t="shared" si="0"/>
        <v>0</v>
      </c>
      <c r="Z28" s="12">
        <f t="shared" si="0"/>
        <v>0</v>
      </c>
      <c r="AA28" s="12">
        <v>0</v>
      </c>
      <c r="AB28" s="13">
        <f t="shared" si="3"/>
        <v>4000</v>
      </c>
      <c r="AC28" s="53">
        <f t="shared" si="1"/>
        <v>0</v>
      </c>
    </row>
    <row r="29" spans="1:29" x14ac:dyDescent="0.25">
      <c r="A29" s="41" t="s">
        <v>58</v>
      </c>
      <c r="B29" s="39"/>
      <c r="C29" s="43">
        <f>C27+C28</f>
        <v>14710.36</v>
      </c>
      <c r="D29" s="15"/>
      <c r="E29" s="30"/>
      <c r="F29" s="31"/>
      <c r="G29" s="31"/>
      <c r="H29" s="31"/>
      <c r="I29" s="31"/>
      <c r="J29" s="31"/>
      <c r="K29" s="31"/>
      <c r="L29" s="31"/>
      <c r="M29" s="31"/>
      <c r="N29" s="63"/>
      <c r="O29" s="57"/>
      <c r="P29" s="5"/>
      <c r="Q29" s="16">
        <f>Q27+Q28</f>
        <v>4635.4053333333331</v>
      </c>
      <c r="R29" s="12">
        <f t="shared" ref="R29:AA29" si="5">R27+R28</f>
        <v>4428.5133333333333</v>
      </c>
      <c r="S29" s="12">
        <f t="shared" si="5"/>
        <v>2646.4413333333337</v>
      </c>
      <c r="T29" s="12">
        <f t="shared" si="5"/>
        <v>3000</v>
      </c>
      <c r="U29" s="12">
        <f t="shared" si="5"/>
        <v>0</v>
      </c>
      <c r="V29" s="12">
        <f t="shared" si="5"/>
        <v>0</v>
      </c>
      <c r="W29" s="12">
        <f t="shared" si="5"/>
        <v>0</v>
      </c>
      <c r="X29" s="12">
        <f t="shared" si="5"/>
        <v>0</v>
      </c>
      <c r="Y29" s="12">
        <f t="shared" si="5"/>
        <v>0</v>
      </c>
      <c r="Z29" s="12">
        <f t="shared" si="5"/>
        <v>0</v>
      </c>
      <c r="AA29" s="12">
        <f t="shared" si="5"/>
        <v>0</v>
      </c>
      <c r="AB29" s="13">
        <f t="shared" ref="AB29" si="6">SUM(Q29:Z29)</f>
        <v>14710.36</v>
      </c>
      <c r="AC29" s="53">
        <f t="shared" si="1"/>
        <v>0</v>
      </c>
    </row>
    <row r="30" spans="1:29" x14ac:dyDescent="0.25">
      <c r="A30" s="41"/>
      <c r="B30" s="39"/>
      <c r="C30" s="43"/>
      <c r="D30" s="15"/>
      <c r="E30" s="30"/>
      <c r="F30" s="31"/>
      <c r="G30" s="31"/>
      <c r="H30" s="31"/>
      <c r="I30" s="31"/>
      <c r="J30" s="31"/>
      <c r="K30" s="31"/>
      <c r="L30" s="31"/>
      <c r="M30" s="31"/>
      <c r="N30" s="63"/>
      <c r="O30" s="57"/>
      <c r="P30" s="5"/>
      <c r="Q30" s="16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3"/>
      <c r="AC30" s="53"/>
    </row>
    <row r="31" spans="1:29" x14ac:dyDescent="0.25">
      <c r="A31" s="68" t="s">
        <v>77</v>
      </c>
      <c r="B31" s="55"/>
      <c r="C31" s="28"/>
      <c r="D31" s="15"/>
      <c r="E31" s="30"/>
      <c r="F31" s="31"/>
      <c r="G31" s="31"/>
      <c r="H31" s="31"/>
      <c r="I31" s="31"/>
      <c r="J31" s="31"/>
      <c r="K31" s="31"/>
      <c r="L31" s="31"/>
      <c r="M31" s="31"/>
      <c r="N31" s="63"/>
      <c r="O31" s="57"/>
      <c r="P31" s="5"/>
      <c r="Q31" s="16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3"/>
      <c r="AC31" s="53"/>
    </row>
    <row r="32" spans="1:29" x14ac:dyDescent="0.25">
      <c r="A32" s="4" t="s">
        <v>106</v>
      </c>
      <c r="B32" s="58"/>
      <c r="C32" s="43">
        <f>C29*B12</f>
        <v>2942.0720000000001</v>
      </c>
      <c r="D32" s="15"/>
      <c r="E32" s="30"/>
      <c r="F32" s="31"/>
      <c r="G32" s="31"/>
      <c r="H32" s="31"/>
      <c r="I32" s="31"/>
      <c r="J32" s="31"/>
      <c r="K32" s="31"/>
      <c r="L32" s="31"/>
      <c r="M32" s="31"/>
      <c r="N32" s="63"/>
      <c r="O32" s="57"/>
      <c r="P32" s="5"/>
      <c r="Q32" s="16">
        <f>B12*Q29/2</f>
        <v>463.54053333333331</v>
      </c>
      <c r="R32" s="12">
        <f>$B12*((Q29/2)+(R29/2))</f>
        <v>906.39186666666671</v>
      </c>
      <c r="S32" s="12">
        <f t="shared" ref="S32:Z32" si="7">$B12*((R29/2)+(S29/2))</f>
        <v>707.49546666666674</v>
      </c>
      <c r="T32" s="12">
        <f t="shared" si="7"/>
        <v>564.64413333333346</v>
      </c>
      <c r="U32" s="12">
        <f t="shared" si="7"/>
        <v>300</v>
      </c>
      <c r="V32" s="12">
        <f t="shared" si="7"/>
        <v>0</v>
      </c>
      <c r="W32" s="12">
        <f t="shared" si="7"/>
        <v>0</v>
      </c>
      <c r="X32" s="12">
        <f t="shared" si="7"/>
        <v>0</v>
      </c>
      <c r="Y32" s="12">
        <f t="shared" si="7"/>
        <v>0</v>
      </c>
      <c r="Z32" s="12">
        <f t="shared" si="7"/>
        <v>0</v>
      </c>
      <c r="AA32" s="12">
        <v>0</v>
      </c>
      <c r="AB32" s="13">
        <f t="shared" ref="AB32:AB34" si="8">SUM(Q32:Z32)</f>
        <v>2942.0720000000001</v>
      </c>
      <c r="AC32" s="53">
        <f t="shared" ref="AC32" si="9">AB32-C32</f>
        <v>0</v>
      </c>
    </row>
    <row r="33" spans="1:29" x14ac:dyDescent="0.25">
      <c r="A33" s="4" t="s">
        <v>67</v>
      </c>
      <c r="B33" s="58"/>
      <c r="C33" s="43">
        <f>C29*B13</f>
        <v>1618.1396</v>
      </c>
      <c r="D33" s="15"/>
      <c r="E33" s="30"/>
      <c r="F33" s="31"/>
      <c r="G33" s="31"/>
      <c r="H33" s="31"/>
      <c r="I33" s="31"/>
      <c r="J33" s="31"/>
      <c r="K33" s="31"/>
      <c r="L33" s="31"/>
      <c r="M33" s="31"/>
      <c r="N33" s="63"/>
      <c r="O33" s="57"/>
      <c r="P33" s="5"/>
      <c r="Q33" s="16">
        <v>0</v>
      </c>
      <c r="R33" s="12">
        <f t="shared" ref="R33:Z33" si="10">Q29*$B13</f>
        <v>509.89458666666667</v>
      </c>
      <c r="S33" s="12">
        <f t="shared" si="10"/>
        <v>487.13646666666665</v>
      </c>
      <c r="T33" s="12">
        <f t="shared" si="10"/>
        <v>291.10854666666671</v>
      </c>
      <c r="U33" s="12">
        <f t="shared" si="10"/>
        <v>330</v>
      </c>
      <c r="V33" s="12">
        <f t="shared" si="10"/>
        <v>0</v>
      </c>
      <c r="W33" s="12">
        <f t="shared" si="10"/>
        <v>0</v>
      </c>
      <c r="X33" s="12">
        <f t="shared" si="10"/>
        <v>0</v>
      </c>
      <c r="Y33" s="12">
        <f t="shared" si="10"/>
        <v>0</v>
      </c>
      <c r="Z33" s="12">
        <f t="shared" si="10"/>
        <v>0</v>
      </c>
      <c r="AA33" s="12">
        <v>0</v>
      </c>
      <c r="AB33" s="13">
        <f t="shared" si="8"/>
        <v>1618.1396</v>
      </c>
      <c r="AC33" s="53">
        <f>AB33-C33</f>
        <v>0</v>
      </c>
    </row>
    <row r="34" spans="1:29" x14ac:dyDescent="0.25">
      <c r="A34" s="40" t="s">
        <v>26</v>
      </c>
      <c r="B34" s="58"/>
      <c r="C34" s="43">
        <f>SUM(C32:C33)</f>
        <v>4560.2116000000005</v>
      </c>
      <c r="D34" s="15"/>
      <c r="E34" s="30"/>
      <c r="F34" s="31"/>
      <c r="G34" s="31"/>
      <c r="H34" s="31"/>
      <c r="I34" s="31"/>
      <c r="J34" s="31"/>
      <c r="K34" s="31"/>
      <c r="L34" s="31"/>
      <c r="M34" s="31"/>
      <c r="N34" s="63"/>
      <c r="O34" s="57"/>
      <c r="P34" s="5"/>
      <c r="Q34" s="16">
        <f t="shared" ref="Q34:AA34" si="11">SUM(Q32:Q33)</f>
        <v>463.54053333333331</v>
      </c>
      <c r="R34" s="12">
        <f t="shared" si="11"/>
        <v>1416.2864533333334</v>
      </c>
      <c r="S34" s="12">
        <f t="shared" si="11"/>
        <v>1194.6319333333333</v>
      </c>
      <c r="T34" s="12">
        <f t="shared" si="11"/>
        <v>855.75268000000017</v>
      </c>
      <c r="U34" s="12">
        <f t="shared" si="11"/>
        <v>630</v>
      </c>
      <c r="V34" s="12">
        <f t="shared" si="11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12">
        <f t="shared" si="11"/>
        <v>0</v>
      </c>
      <c r="AA34" s="12">
        <f t="shared" si="11"/>
        <v>0</v>
      </c>
      <c r="AB34" s="13">
        <f t="shared" si="8"/>
        <v>4560.2116000000005</v>
      </c>
      <c r="AC34" s="53">
        <f>AB34-C34</f>
        <v>0</v>
      </c>
    </row>
    <row r="35" spans="1:29" x14ac:dyDescent="0.25">
      <c r="A35" s="4"/>
      <c r="B35" s="58"/>
      <c r="C35" s="43"/>
      <c r="D35" s="15"/>
      <c r="E35" s="30"/>
      <c r="F35" s="31"/>
      <c r="G35" s="31"/>
      <c r="H35" s="31"/>
      <c r="I35" s="31"/>
      <c r="J35" s="31"/>
      <c r="K35" s="31"/>
      <c r="L35" s="31"/>
      <c r="M35" s="31"/>
      <c r="N35" s="63"/>
      <c r="O35" s="57"/>
      <c r="P35" s="5"/>
      <c r="Q35" s="16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3"/>
      <c r="AC35" s="53"/>
    </row>
    <row r="36" spans="1:29" x14ac:dyDescent="0.25">
      <c r="A36" s="32" t="s">
        <v>36</v>
      </c>
      <c r="B36" s="56" t="s">
        <v>25</v>
      </c>
      <c r="C36" s="28" t="s">
        <v>24</v>
      </c>
      <c r="D36" s="15"/>
      <c r="E36" s="30"/>
      <c r="F36" s="31"/>
      <c r="G36" s="31"/>
      <c r="H36" s="31"/>
      <c r="I36" s="31"/>
      <c r="J36" s="31"/>
      <c r="K36" s="31"/>
      <c r="L36" s="31"/>
      <c r="M36" s="31"/>
      <c r="N36" s="63"/>
      <c r="O36" s="57"/>
      <c r="P36" s="5"/>
      <c r="Q36" s="16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3"/>
      <c r="AC36" s="53"/>
    </row>
    <row r="37" spans="1:29" x14ac:dyDescent="0.25">
      <c r="A37" s="4" t="s">
        <v>56</v>
      </c>
      <c r="B37" s="54">
        <f>B8*B9*B10</f>
        <v>8400</v>
      </c>
      <c r="C37" s="43">
        <f>B37*B$6</f>
        <v>58800</v>
      </c>
      <c r="D37" s="15"/>
      <c r="E37" s="30">
        <v>0</v>
      </c>
      <c r="F37" s="31">
        <v>0</v>
      </c>
      <c r="G37" s="31">
        <v>0</v>
      </c>
      <c r="H37" s="31">
        <v>1</v>
      </c>
      <c r="I37" s="31">
        <v>1</v>
      </c>
      <c r="J37" s="31">
        <v>1</v>
      </c>
      <c r="K37" s="31">
        <v>1</v>
      </c>
      <c r="L37" s="31">
        <v>1</v>
      </c>
      <c r="M37" s="31">
        <v>1</v>
      </c>
      <c r="N37" s="63">
        <v>1</v>
      </c>
      <c r="O37" s="57">
        <f>SUM(E37:N37)</f>
        <v>7</v>
      </c>
      <c r="P37" s="5"/>
      <c r="Q37" s="16">
        <f t="shared" ref="Q37:Z38" si="12">$B37*E37</f>
        <v>0</v>
      </c>
      <c r="R37" s="12">
        <f t="shared" si="12"/>
        <v>0</v>
      </c>
      <c r="S37" s="12">
        <f t="shared" si="12"/>
        <v>0</v>
      </c>
      <c r="T37" s="12">
        <f t="shared" si="12"/>
        <v>8400</v>
      </c>
      <c r="U37" s="12">
        <f t="shared" si="12"/>
        <v>8400</v>
      </c>
      <c r="V37" s="12">
        <f t="shared" si="12"/>
        <v>8400</v>
      </c>
      <c r="W37" s="12">
        <f t="shared" si="12"/>
        <v>8400</v>
      </c>
      <c r="X37" s="12">
        <f t="shared" si="12"/>
        <v>8400</v>
      </c>
      <c r="Y37" s="12">
        <f t="shared" si="12"/>
        <v>8400</v>
      </c>
      <c r="Z37" s="12">
        <f t="shared" si="12"/>
        <v>8400</v>
      </c>
      <c r="AA37" s="12">
        <v>0</v>
      </c>
      <c r="AB37" s="13">
        <f t="shared" ref="AB37:AB39" si="13">SUM(Q37:Z37)</f>
        <v>58800</v>
      </c>
      <c r="AC37" s="53">
        <f>AB37-C37</f>
        <v>0</v>
      </c>
    </row>
    <row r="38" spans="1:29" x14ac:dyDescent="0.25">
      <c r="A38" s="4" t="s">
        <v>41</v>
      </c>
      <c r="B38" s="54">
        <f>B37*0.2</f>
        <v>1680</v>
      </c>
      <c r="C38" s="43">
        <f>B38*B$6</f>
        <v>11760</v>
      </c>
      <c r="D38" s="15"/>
      <c r="E38" s="30">
        <v>0</v>
      </c>
      <c r="F38" s="31">
        <v>0</v>
      </c>
      <c r="G38" s="31">
        <v>0</v>
      </c>
      <c r="H38" s="31">
        <v>1</v>
      </c>
      <c r="I38" s="31">
        <v>1</v>
      </c>
      <c r="J38" s="31">
        <v>1</v>
      </c>
      <c r="K38" s="31">
        <v>1</v>
      </c>
      <c r="L38" s="31">
        <v>1</v>
      </c>
      <c r="M38" s="31">
        <v>1</v>
      </c>
      <c r="N38" s="63">
        <v>1</v>
      </c>
      <c r="O38" s="57">
        <f>SUM(E38:N38)</f>
        <v>7</v>
      </c>
      <c r="P38" s="5"/>
      <c r="Q38" s="16">
        <f t="shared" si="12"/>
        <v>0</v>
      </c>
      <c r="R38" s="12">
        <f t="shared" si="12"/>
        <v>0</v>
      </c>
      <c r="S38" s="12">
        <f t="shared" si="12"/>
        <v>0</v>
      </c>
      <c r="T38" s="12">
        <f t="shared" si="12"/>
        <v>1680</v>
      </c>
      <c r="U38" s="12">
        <f t="shared" si="12"/>
        <v>1680</v>
      </c>
      <c r="V38" s="12">
        <f t="shared" si="12"/>
        <v>1680</v>
      </c>
      <c r="W38" s="12">
        <f t="shared" si="12"/>
        <v>1680</v>
      </c>
      <c r="X38" s="12">
        <f t="shared" si="12"/>
        <v>1680</v>
      </c>
      <c r="Y38" s="12">
        <f t="shared" si="12"/>
        <v>1680</v>
      </c>
      <c r="Z38" s="12">
        <f t="shared" si="12"/>
        <v>1680</v>
      </c>
      <c r="AA38" s="12">
        <v>0</v>
      </c>
      <c r="AB38" s="13">
        <f t="shared" si="13"/>
        <v>11760</v>
      </c>
      <c r="AC38" s="53">
        <f>AB38-C38</f>
        <v>0</v>
      </c>
    </row>
    <row r="39" spans="1:29" x14ac:dyDescent="0.25">
      <c r="A39" s="41" t="s">
        <v>51</v>
      </c>
      <c r="B39" s="54"/>
      <c r="C39" s="43">
        <f>C37-C38</f>
        <v>47040</v>
      </c>
      <c r="D39" s="15"/>
      <c r="E39" s="30"/>
      <c r="F39" s="31"/>
      <c r="G39" s="31"/>
      <c r="H39" s="31"/>
      <c r="I39" s="31"/>
      <c r="J39" s="31"/>
      <c r="K39" s="31"/>
      <c r="L39" s="31"/>
      <c r="M39" s="31"/>
      <c r="N39" s="63"/>
      <c r="O39" s="57"/>
      <c r="P39" s="5"/>
      <c r="Q39" s="16">
        <f>Q37-Q38</f>
        <v>0</v>
      </c>
      <c r="R39" s="12">
        <f t="shared" ref="R39:AA39" si="14">R37-R38</f>
        <v>0</v>
      </c>
      <c r="S39" s="12">
        <f t="shared" si="14"/>
        <v>0</v>
      </c>
      <c r="T39" s="12">
        <f t="shared" si="14"/>
        <v>6720</v>
      </c>
      <c r="U39" s="12">
        <f t="shared" si="14"/>
        <v>6720</v>
      </c>
      <c r="V39" s="12">
        <f t="shared" si="14"/>
        <v>6720</v>
      </c>
      <c r="W39" s="12">
        <f t="shared" si="14"/>
        <v>6720</v>
      </c>
      <c r="X39" s="12">
        <f t="shared" si="14"/>
        <v>6720</v>
      </c>
      <c r="Y39" s="12">
        <f t="shared" si="14"/>
        <v>6720</v>
      </c>
      <c r="Z39" s="12">
        <f t="shared" si="14"/>
        <v>6720</v>
      </c>
      <c r="AA39" s="12">
        <f t="shared" si="14"/>
        <v>0</v>
      </c>
      <c r="AB39" s="13">
        <f t="shared" si="13"/>
        <v>47040</v>
      </c>
      <c r="AC39" s="53">
        <f>AB39-C39</f>
        <v>0</v>
      </c>
    </row>
    <row r="40" spans="1:29" x14ac:dyDescent="0.25">
      <c r="A40" s="4"/>
      <c r="B40" s="5"/>
      <c r="C40" s="29"/>
      <c r="D40" s="15"/>
      <c r="E40" s="30"/>
      <c r="F40" s="31"/>
      <c r="G40" s="31"/>
      <c r="H40" s="31"/>
      <c r="I40" s="31"/>
      <c r="J40" s="31"/>
      <c r="K40" s="31"/>
      <c r="L40" s="31"/>
      <c r="M40" s="31"/>
      <c r="N40" s="63"/>
      <c r="O40" s="57"/>
      <c r="P40" s="5"/>
      <c r="Q40" s="16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3"/>
      <c r="AC40" s="53"/>
    </row>
    <row r="41" spans="1:29" x14ac:dyDescent="0.25">
      <c r="A41" s="32" t="s">
        <v>22</v>
      </c>
      <c r="B41" s="56" t="s">
        <v>25</v>
      </c>
      <c r="C41" s="28" t="s">
        <v>24</v>
      </c>
      <c r="D41" s="15"/>
      <c r="E41" s="4"/>
      <c r="F41" s="5"/>
      <c r="G41" s="5"/>
      <c r="H41" s="5"/>
      <c r="I41" s="5"/>
      <c r="J41" s="31"/>
      <c r="K41" s="31"/>
      <c r="L41" s="31"/>
      <c r="M41" s="31"/>
      <c r="N41" s="63"/>
      <c r="O41" s="57"/>
      <c r="P41" s="5"/>
      <c r="Q41" s="16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3"/>
      <c r="AC41" s="53"/>
    </row>
    <row r="42" spans="1:29" x14ac:dyDescent="0.25">
      <c r="A42" s="4" t="s">
        <v>23</v>
      </c>
      <c r="B42" s="35">
        <v>200</v>
      </c>
      <c r="C42" s="43">
        <f t="shared" ref="C42:C43" si="15">B42*B$6</f>
        <v>1400</v>
      </c>
      <c r="D42" s="15"/>
      <c r="E42" s="30">
        <v>0</v>
      </c>
      <c r="F42" s="31">
        <v>0</v>
      </c>
      <c r="G42" s="31">
        <v>0</v>
      </c>
      <c r="H42" s="31">
        <v>1</v>
      </c>
      <c r="I42" s="31">
        <v>1</v>
      </c>
      <c r="J42" s="31">
        <v>1</v>
      </c>
      <c r="K42" s="31">
        <v>1</v>
      </c>
      <c r="L42" s="31">
        <v>1</v>
      </c>
      <c r="M42" s="31">
        <v>1</v>
      </c>
      <c r="N42" s="63">
        <v>1</v>
      </c>
      <c r="O42" s="57">
        <f t="shared" ref="O42:O43" si="16">SUM(E42:N42)</f>
        <v>7</v>
      </c>
      <c r="P42" s="5"/>
      <c r="Q42" s="16">
        <f t="shared" ref="Q42:Z44" si="17">$B42*E42</f>
        <v>0</v>
      </c>
      <c r="R42" s="12">
        <f t="shared" si="17"/>
        <v>0</v>
      </c>
      <c r="S42" s="12">
        <f t="shared" si="17"/>
        <v>0</v>
      </c>
      <c r="T42" s="12">
        <f t="shared" si="17"/>
        <v>200</v>
      </c>
      <c r="U42" s="12">
        <f t="shared" si="17"/>
        <v>200</v>
      </c>
      <c r="V42" s="12">
        <f t="shared" si="17"/>
        <v>200</v>
      </c>
      <c r="W42" s="12">
        <f t="shared" si="17"/>
        <v>200</v>
      </c>
      <c r="X42" s="12">
        <f t="shared" si="17"/>
        <v>200</v>
      </c>
      <c r="Y42" s="12">
        <f t="shared" si="17"/>
        <v>200</v>
      </c>
      <c r="Z42" s="12">
        <f t="shared" si="17"/>
        <v>200</v>
      </c>
      <c r="AA42" s="12">
        <v>0</v>
      </c>
      <c r="AB42" s="13">
        <f t="shared" ref="AB42:AB43" si="18">SUM(Q42:Z42)</f>
        <v>1400</v>
      </c>
      <c r="AC42" s="53">
        <f>AB42-C42</f>
        <v>0</v>
      </c>
    </row>
    <row r="43" spans="1:29" x14ac:dyDescent="0.25">
      <c r="A43" s="33" t="s">
        <v>37</v>
      </c>
      <c r="B43" s="36">
        <f>B7*B9*B10</f>
        <v>2400</v>
      </c>
      <c r="C43" s="43">
        <f t="shared" si="15"/>
        <v>16800</v>
      </c>
      <c r="D43" s="15"/>
      <c r="E43" s="30">
        <v>0</v>
      </c>
      <c r="F43" s="31">
        <v>0</v>
      </c>
      <c r="G43" s="31">
        <v>0</v>
      </c>
      <c r="H43" s="31">
        <v>1</v>
      </c>
      <c r="I43" s="31">
        <v>1</v>
      </c>
      <c r="J43" s="31">
        <v>1</v>
      </c>
      <c r="K43" s="31">
        <v>1</v>
      </c>
      <c r="L43" s="31">
        <v>1</v>
      </c>
      <c r="M43" s="31">
        <v>1</v>
      </c>
      <c r="N43" s="63">
        <v>1</v>
      </c>
      <c r="O43" s="57">
        <f t="shared" si="16"/>
        <v>7</v>
      </c>
      <c r="P43" s="5"/>
      <c r="Q43" s="16">
        <f t="shared" si="17"/>
        <v>0</v>
      </c>
      <c r="R43" s="12">
        <f t="shared" si="17"/>
        <v>0</v>
      </c>
      <c r="S43" s="12">
        <f t="shared" si="17"/>
        <v>0</v>
      </c>
      <c r="T43" s="12">
        <f t="shared" si="17"/>
        <v>2400</v>
      </c>
      <c r="U43" s="12">
        <f t="shared" si="17"/>
        <v>2400</v>
      </c>
      <c r="V43" s="12">
        <f t="shared" si="17"/>
        <v>2400</v>
      </c>
      <c r="W43" s="12">
        <f t="shared" si="17"/>
        <v>2400</v>
      </c>
      <c r="X43" s="12">
        <f t="shared" si="17"/>
        <v>2400</v>
      </c>
      <c r="Y43" s="12">
        <f t="shared" si="17"/>
        <v>2400</v>
      </c>
      <c r="Z43" s="12">
        <f t="shared" si="17"/>
        <v>2400</v>
      </c>
      <c r="AA43" s="12">
        <v>0</v>
      </c>
      <c r="AB43" s="13">
        <f t="shared" si="18"/>
        <v>16800</v>
      </c>
      <c r="AC43" s="53">
        <f>AB43-C43</f>
        <v>0</v>
      </c>
    </row>
    <row r="44" spans="1:29" x14ac:dyDescent="0.25">
      <c r="A44" s="4" t="s">
        <v>18</v>
      </c>
      <c r="B44" s="49">
        <f>B11*20</f>
        <v>30.4</v>
      </c>
      <c r="C44" s="43">
        <f>B44*B$6</f>
        <v>212.79999999999998</v>
      </c>
      <c r="D44" s="15"/>
      <c r="E44" s="30">
        <v>0</v>
      </c>
      <c r="F44" s="31">
        <v>0</v>
      </c>
      <c r="G44" s="31">
        <v>0</v>
      </c>
      <c r="H44" s="31">
        <v>1</v>
      </c>
      <c r="I44" s="31">
        <v>1</v>
      </c>
      <c r="J44" s="31">
        <v>1</v>
      </c>
      <c r="K44" s="31">
        <v>1</v>
      </c>
      <c r="L44" s="31">
        <v>1</v>
      </c>
      <c r="M44" s="31">
        <v>1</v>
      </c>
      <c r="N44" s="63">
        <v>1</v>
      </c>
      <c r="O44" s="57">
        <f>SUM(E44:N44)</f>
        <v>7</v>
      </c>
      <c r="P44" s="5"/>
      <c r="Q44" s="16">
        <f t="shared" si="17"/>
        <v>0</v>
      </c>
      <c r="R44" s="12">
        <f t="shared" si="17"/>
        <v>0</v>
      </c>
      <c r="S44" s="12">
        <f t="shared" si="17"/>
        <v>0</v>
      </c>
      <c r="T44" s="12">
        <f t="shared" si="17"/>
        <v>30.4</v>
      </c>
      <c r="U44" s="12">
        <f t="shared" si="17"/>
        <v>30.4</v>
      </c>
      <c r="V44" s="12">
        <f t="shared" si="17"/>
        <v>30.4</v>
      </c>
      <c r="W44" s="12">
        <f t="shared" si="17"/>
        <v>30.4</v>
      </c>
      <c r="X44" s="12">
        <f t="shared" si="17"/>
        <v>30.4</v>
      </c>
      <c r="Y44" s="12">
        <f t="shared" si="17"/>
        <v>30.4</v>
      </c>
      <c r="Z44" s="12">
        <f t="shared" si="17"/>
        <v>30.4</v>
      </c>
      <c r="AA44" s="12">
        <v>0</v>
      </c>
      <c r="AB44" s="13">
        <f>SUM(Q44:Z44)</f>
        <v>212.8</v>
      </c>
      <c r="AC44" s="53">
        <f>AB44-C44</f>
        <v>0</v>
      </c>
    </row>
    <row r="45" spans="1:29" x14ac:dyDescent="0.25">
      <c r="A45" s="40" t="s">
        <v>5</v>
      </c>
      <c r="B45" s="54"/>
      <c r="C45" s="43">
        <f>SUM(C42:C44)</f>
        <v>18412.8</v>
      </c>
      <c r="D45" s="15"/>
      <c r="E45" s="30"/>
      <c r="F45" s="31"/>
      <c r="G45" s="31"/>
      <c r="H45" s="31"/>
      <c r="I45" s="31"/>
      <c r="J45" s="31"/>
      <c r="K45" s="31"/>
      <c r="L45" s="31"/>
      <c r="M45" s="31"/>
      <c r="N45" s="63"/>
      <c r="O45" s="57"/>
      <c r="P45" s="5"/>
      <c r="Q45" s="16">
        <f t="shared" ref="Q45:Z45" si="19">SUM(Q42:Q44)</f>
        <v>0</v>
      </c>
      <c r="R45" s="12">
        <f t="shared" si="19"/>
        <v>0</v>
      </c>
      <c r="S45" s="12">
        <f t="shared" si="19"/>
        <v>0</v>
      </c>
      <c r="T45" s="12">
        <f t="shared" si="19"/>
        <v>2630.4</v>
      </c>
      <c r="U45" s="12">
        <f t="shared" si="19"/>
        <v>2630.4</v>
      </c>
      <c r="V45" s="12">
        <f t="shared" si="19"/>
        <v>2630.4</v>
      </c>
      <c r="W45" s="12">
        <f t="shared" si="19"/>
        <v>2630.4</v>
      </c>
      <c r="X45" s="12">
        <f t="shared" si="19"/>
        <v>2630.4</v>
      </c>
      <c r="Y45" s="12">
        <f t="shared" si="19"/>
        <v>2630.4</v>
      </c>
      <c r="Z45" s="12">
        <f t="shared" si="19"/>
        <v>2630.4</v>
      </c>
      <c r="AA45" s="12">
        <f t="shared" ref="AA45" si="20">SUM(AA43:AA44)</f>
        <v>0</v>
      </c>
      <c r="AB45" s="13">
        <f t="shared" ref="AB45" si="21">SUM(Q45:Z45)</f>
        <v>18412.8</v>
      </c>
      <c r="AC45" s="53">
        <f>AB45-C45</f>
        <v>0</v>
      </c>
    </row>
    <row r="46" spans="1:29" x14ac:dyDescent="0.25">
      <c r="A46" s="4"/>
      <c r="B46" s="44"/>
      <c r="C46" s="29"/>
      <c r="D46" s="15"/>
      <c r="E46" s="30"/>
      <c r="F46" s="31"/>
      <c r="G46" s="31"/>
      <c r="H46" s="31"/>
      <c r="I46" s="31"/>
      <c r="J46" s="31"/>
      <c r="K46" s="31"/>
      <c r="L46" s="31"/>
      <c r="M46" s="31"/>
      <c r="N46" s="63"/>
      <c r="O46" s="57"/>
      <c r="P46" s="5"/>
      <c r="Q46" s="16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3"/>
      <c r="AC46" s="12"/>
    </row>
    <row r="47" spans="1:29" x14ac:dyDescent="0.25">
      <c r="A47" s="32" t="s">
        <v>44</v>
      </c>
      <c r="B47" s="44"/>
      <c r="C47" s="28" t="s">
        <v>24</v>
      </c>
      <c r="D47" s="15"/>
      <c r="E47" s="30"/>
      <c r="F47" s="31"/>
      <c r="G47" s="31"/>
      <c r="H47" s="31"/>
      <c r="I47" s="31"/>
      <c r="J47" s="31"/>
      <c r="K47" s="31"/>
      <c r="L47" s="31"/>
      <c r="M47" s="31"/>
      <c r="N47" s="63"/>
      <c r="O47" s="57"/>
      <c r="P47" s="5"/>
      <c r="Q47" s="16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3"/>
      <c r="AC47" s="12"/>
    </row>
    <row r="48" spans="1:29" x14ac:dyDescent="0.25">
      <c r="A48" s="50" t="s">
        <v>43</v>
      </c>
      <c r="B48" s="51"/>
      <c r="C48" s="43">
        <f>(B8-B7)*B9*B10*0.5</f>
        <v>3000</v>
      </c>
      <c r="D48" s="15"/>
      <c r="E48" s="30">
        <v>0</v>
      </c>
      <c r="F48" s="31">
        <v>0</v>
      </c>
      <c r="G48" s="31">
        <v>0</v>
      </c>
      <c r="H48" s="31">
        <v>1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63">
        <v>0</v>
      </c>
      <c r="O48" s="57">
        <f t="shared" ref="O48" si="22">SUM(E48:N48)</f>
        <v>1</v>
      </c>
      <c r="P48" s="5"/>
      <c r="Q48" s="16">
        <f t="shared" ref="Q48:Z48" si="23">$C48*E48</f>
        <v>0</v>
      </c>
      <c r="R48" s="12">
        <f t="shared" si="23"/>
        <v>0</v>
      </c>
      <c r="S48" s="12">
        <f t="shared" si="23"/>
        <v>0</v>
      </c>
      <c r="T48" s="12">
        <f t="shared" si="23"/>
        <v>3000</v>
      </c>
      <c r="U48" s="12">
        <f t="shared" si="23"/>
        <v>0</v>
      </c>
      <c r="V48" s="12">
        <f t="shared" si="23"/>
        <v>0</v>
      </c>
      <c r="W48" s="12">
        <f t="shared" si="23"/>
        <v>0</v>
      </c>
      <c r="X48" s="12">
        <f t="shared" si="23"/>
        <v>0</v>
      </c>
      <c r="Y48" s="12">
        <f t="shared" si="23"/>
        <v>0</v>
      </c>
      <c r="Z48" s="12">
        <f t="shared" si="23"/>
        <v>0</v>
      </c>
      <c r="AA48" s="12">
        <v>0</v>
      </c>
      <c r="AB48" s="13">
        <f t="shared" ref="AB48:AB49" si="24">SUM(Q48:Z48)</f>
        <v>3000</v>
      </c>
      <c r="AC48" s="53">
        <f>AB48-C48</f>
        <v>0</v>
      </c>
    </row>
    <row r="49" spans="1:29" x14ac:dyDescent="0.25">
      <c r="A49" s="4" t="s">
        <v>38</v>
      </c>
      <c r="B49" s="49">
        <f>(B7*B9*B10)*0.05</f>
        <v>120</v>
      </c>
      <c r="C49" s="43">
        <f t="shared" ref="C49" si="25">B49*B$6</f>
        <v>840</v>
      </c>
      <c r="D49" s="15"/>
      <c r="E49" s="30">
        <v>0</v>
      </c>
      <c r="F49" s="31">
        <v>0</v>
      </c>
      <c r="G49" s="31">
        <v>0</v>
      </c>
      <c r="H49" s="31">
        <v>1</v>
      </c>
      <c r="I49" s="31">
        <v>1</v>
      </c>
      <c r="J49" s="31">
        <v>1</v>
      </c>
      <c r="K49" s="31">
        <v>1</v>
      </c>
      <c r="L49" s="31">
        <v>1</v>
      </c>
      <c r="M49" s="31">
        <v>1</v>
      </c>
      <c r="N49" s="63">
        <v>1</v>
      </c>
      <c r="O49" s="57">
        <f t="shared" ref="O49" si="26">SUM(E49:N49)</f>
        <v>7</v>
      </c>
      <c r="P49" s="5"/>
      <c r="Q49" s="16">
        <f t="shared" ref="Q49:Z49" si="27">$B49*E49</f>
        <v>0</v>
      </c>
      <c r="R49" s="12">
        <f t="shared" si="27"/>
        <v>0</v>
      </c>
      <c r="S49" s="12">
        <f t="shared" si="27"/>
        <v>0</v>
      </c>
      <c r="T49" s="12">
        <f t="shared" si="27"/>
        <v>120</v>
      </c>
      <c r="U49" s="12">
        <f t="shared" si="27"/>
        <v>120</v>
      </c>
      <c r="V49" s="12">
        <f t="shared" si="27"/>
        <v>120</v>
      </c>
      <c r="W49" s="12">
        <f t="shared" si="27"/>
        <v>120</v>
      </c>
      <c r="X49" s="12">
        <f t="shared" si="27"/>
        <v>120</v>
      </c>
      <c r="Y49" s="12">
        <f t="shared" si="27"/>
        <v>120</v>
      </c>
      <c r="Z49" s="12">
        <f t="shared" si="27"/>
        <v>120</v>
      </c>
      <c r="AA49" s="12">
        <v>0</v>
      </c>
      <c r="AB49" s="13">
        <f t="shared" si="24"/>
        <v>840</v>
      </c>
      <c r="AC49" s="53">
        <f>AB49-C49</f>
        <v>0</v>
      </c>
    </row>
    <row r="50" spans="1:29" x14ac:dyDescent="0.25">
      <c r="A50" s="40" t="s">
        <v>5</v>
      </c>
      <c r="B50" s="44"/>
      <c r="C50" s="43">
        <f>SUM(C48:C49)</f>
        <v>3840</v>
      </c>
      <c r="D50" s="15"/>
      <c r="E50" s="30"/>
      <c r="F50" s="31"/>
      <c r="G50" s="31"/>
      <c r="H50" s="31"/>
      <c r="I50" s="31"/>
      <c r="J50" s="31"/>
      <c r="K50" s="31"/>
      <c r="L50" s="31"/>
      <c r="M50" s="31"/>
      <c r="N50" s="63"/>
      <c r="O50" s="57"/>
      <c r="P50" s="5"/>
      <c r="Q50" s="16">
        <f t="shared" ref="Q50:AA50" si="28">SUM(Q48:Q49)</f>
        <v>0</v>
      </c>
      <c r="R50" s="12">
        <f t="shared" si="28"/>
        <v>0</v>
      </c>
      <c r="S50" s="12">
        <f t="shared" si="28"/>
        <v>0</v>
      </c>
      <c r="T50" s="12">
        <f t="shared" si="28"/>
        <v>3120</v>
      </c>
      <c r="U50" s="12">
        <f t="shared" si="28"/>
        <v>120</v>
      </c>
      <c r="V50" s="12">
        <f t="shared" si="28"/>
        <v>120</v>
      </c>
      <c r="W50" s="12">
        <f t="shared" si="28"/>
        <v>120</v>
      </c>
      <c r="X50" s="12">
        <f t="shared" si="28"/>
        <v>120</v>
      </c>
      <c r="Y50" s="12">
        <f t="shared" si="28"/>
        <v>120</v>
      </c>
      <c r="Z50" s="12">
        <f t="shared" si="28"/>
        <v>120</v>
      </c>
      <c r="AA50" s="12">
        <f t="shared" si="28"/>
        <v>0</v>
      </c>
      <c r="AB50" s="13">
        <f t="shared" ref="AB50" si="29">SUM(Q50:Z50)</f>
        <v>3840</v>
      </c>
      <c r="AC50" s="53">
        <f>AB50-C50</f>
        <v>0</v>
      </c>
    </row>
    <row r="51" spans="1:29" x14ac:dyDescent="0.25">
      <c r="A51" s="4"/>
      <c r="B51" s="44"/>
      <c r="C51" s="29"/>
      <c r="D51" s="15"/>
      <c r="E51" s="30"/>
      <c r="F51" s="31"/>
      <c r="G51" s="31"/>
      <c r="H51" s="31"/>
      <c r="I51" s="31"/>
      <c r="J51" s="31"/>
      <c r="K51" s="31"/>
      <c r="L51" s="31"/>
      <c r="M51" s="31"/>
      <c r="N51" s="63"/>
      <c r="O51" s="57"/>
      <c r="P51" s="5"/>
      <c r="Q51" s="16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3"/>
      <c r="AC51" s="12"/>
    </row>
    <row r="52" spans="1:29" x14ac:dyDescent="0.25">
      <c r="A52" s="32" t="s">
        <v>57</v>
      </c>
      <c r="B52" s="44"/>
      <c r="C52" s="28" t="s">
        <v>24</v>
      </c>
      <c r="D52" s="15"/>
      <c r="E52" s="30"/>
      <c r="F52" s="31"/>
      <c r="G52" s="31"/>
      <c r="H52" s="31"/>
      <c r="I52" s="31"/>
      <c r="J52" s="31"/>
      <c r="K52" s="31"/>
      <c r="L52" s="31"/>
      <c r="M52" s="31"/>
      <c r="N52" s="63"/>
      <c r="O52" s="57"/>
      <c r="P52" s="5"/>
      <c r="Q52" s="16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3"/>
      <c r="AC52" s="12"/>
    </row>
    <row r="53" spans="1:29" x14ac:dyDescent="0.25">
      <c r="A53" s="50" t="s">
        <v>49</v>
      </c>
      <c r="B53" s="51"/>
      <c r="C53" s="43">
        <f>C39-C45-C50</f>
        <v>24787.200000000001</v>
      </c>
      <c r="D53" s="15"/>
      <c r="E53" s="30"/>
      <c r="F53" s="31"/>
      <c r="G53" s="31"/>
      <c r="H53" s="31"/>
      <c r="I53" s="31"/>
      <c r="J53" s="31"/>
      <c r="K53" s="31"/>
      <c r="L53" s="31"/>
      <c r="M53" s="31"/>
      <c r="N53" s="63"/>
      <c r="O53" s="57"/>
      <c r="P53" s="5"/>
      <c r="Q53" s="16">
        <f t="shared" ref="Q53:Z53" si="30">Q39-Q45-Q50</f>
        <v>0</v>
      </c>
      <c r="R53" s="12">
        <f t="shared" si="30"/>
        <v>0</v>
      </c>
      <c r="S53" s="12">
        <f t="shared" si="30"/>
        <v>0</v>
      </c>
      <c r="T53" s="12">
        <f t="shared" si="30"/>
        <v>969.59999999999991</v>
      </c>
      <c r="U53" s="12">
        <f t="shared" si="30"/>
        <v>3969.6</v>
      </c>
      <c r="V53" s="12">
        <f t="shared" si="30"/>
        <v>3969.6</v>
      </c>
      <c r="W53" s="12">
        <f t="shared" si="30"/>
        <v>3969.6</v>
      </c>
      <c r="X53" s="12">
        <f t="shared" si="30"/>
        <v>3969.6</v>
      </c>
      <c r="Y53" s="12">
        <f t="shared" si="30"/>
        <v>3969.6</v>
      </c>
      <c r="Z53" s="12">
        <f t="shared" si="30"/>
        <v>3969.6</v>
      </c>
      <c r="AA53" s="12"/>
      <c r="AB53" s="13">
        <f t="shared" ref="AB53" si="31">SUM(Q53:Z53)</f>
        <v>24787.199999999997</v>
      </c>
      <c r="AC53" s="53">
        <f>AB53-C53</f>
        <v>0</v>
      </c>
    </row>
    <row r="54" spans="1:29" x14ac:dyDescent="0.25">
      <c r="A54" s="40" t="s">
        <v>59</v>
      </c>
      <c r="B54" s="52"/>
      <c r="C54" s="43">
        <f>C53*B12</f>
        <v>4957.4400000000005</v>
      </c>
      <c r="D54" s="15"/>
      <c r="E54" s="30"/>
      <c r="F54" s="31"/>
      <c r="G54" s="31"/>
      <c r="H54" s="31"/>
      <c r="I54" s="31"/>
      <c r="J54" s="31"/>
      <c r="K54" s="31"/>
      <c r="L54" s="31"/>
      <c r="M54" s="31"/>
      <c r="N54" s="63"/>
      <c r="O54" s="57"/>
      <c r="P54" s="5"/>
      <c r="Q54" s="16">
        <f t="shared" ref="Q54:Z54" si="32">Q53*$B12</f>
        <v>0</v>
      </c>
      <c r="R54" s="12">
        <f t="shared" si="32"/>
        <v>0</v>
      </c>
      <c r="S54" s="12">
        <f t="shared" si="32"/>
        <v>0</v>
      </c>
      <c r="T54" s="12">
        <f t="shared" si="32"/>
        <v>193.92</v>
      </c>
      <c r="U54" s="12">
        <f t="shared" si="32"/>
        <v>793.92000000000007</v>
      </c>
      <c r="V54" s="12">
        <f t="shared" si="32"/>
        <v>793.92000000000007</v>
      </c>
      <c r="W54" s="12">
        <f t="shared" si="32"/>
        <v>793.92000000000007</v>
      </c>
      <c r="X54" s="12">
        <f t="shared" si="32"/>
        <v>793.92000000000007</v>
      </c>
      <c r="Y54" s="12">
        <f t="shared" si="32"/>
        <v>793.92000000000007</v>
      </c>
      <c r="Z54" s="12">
        <f t="shared" si="32"/>
        <v>793.92000000000007</v>
      </c>
      <c r="AA54" s="12"/>
      <c r="AB54" s="13">
        <f t="shared" ref="AB54" si="33">SUM(Q54:Z54)</f>
        <v>4957.4400000000005</v>
      </c>
      <c r="AC54" s="53">
        <f>AB54-C54</f>
        <v>0</v>
      </c>
    </row>
    <row r="55" spans="1:29" x14ac:dyDescent="0.25">
      <c r="A55" s="7"/>
      <c r="B55" s="8"/>
      <c r="C55" s="59"/>
      <c r="D55" s="15"/>
      <c r="E55" s="64"/>
      <c r="F55" s="65"/>
      <c r="G55" s="65"/>
      <c r="H55" s="65"/>
      <c r="I55" s="65"/>
      <c r="J55" s="65"/>
      <c r="K55" s="65"/>
      <c r="L55" s="65"/>
      <c r="M55" s="65"/>
      <c r="N55" s="66"/>
      <c r="O55" s="57"/>
      <c r="P55" s="5"/>
      <c r="Q55" s="60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2"/>
      <c r="AC55" s="12"/>
    </row>
    <row r="56" spans="1:29" x14ac:dyDescent="0.25">
      <c r="A56" s="5"/>
      <c r="B56" s="5"/>
      <c r="C56" s="56"/>
      <c r="D56" s="1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57"/>
      <c r="P56" s="5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x14ac:dyDescent="0.25">
      <c r="A57" s="26" t="s">
        <v>72</v>
      </c>
      <c r="B57" s="34"/>
      <c r="C57" s="3"/>
      <c r="D57" s="5"/>
      <c r="E57" s="26" t="s">
        <v>8</v>
      </c>
      <c r="F57" s="2"/>
      <c r="G57" s="2"/>
      <c r="H57" s="2"/>
      <c r="I57" s="2"/>
      <c r="J57" s="2"/>
      <c r="K57" s="2"/>
      <c r="L57" s="2"/>
      <c r="M57" s="2"/>
      <c r="N57" s="3"/>
      <c r="O57" s="5"/>
      <c r="P57" s="5"/>
      <c r="Q57" s="26" t="s">
        <v>45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3"/>
      <c r="AC57" s="5"/>
    </row>
    <row r="58" spans="1:29" x14ac:dyDescent="0.25">
      <c r="A58" s="4"/>
      <c r="B58" s="5"/>
      <c r="C58" s="6"/>
      <c r="D58" s="14"/>
      <c r="E58" s="10" t="s">
        <v>0</v>
      </c>
      <c r="F58" s="1" t="s">
        <v>1</v>
      </c>
      <c r="G58" s="1" t="s">
        <v>2</v>
      </c>
      <c r="H58" s="1" t="s">
        <v>3</v>
      </c>
      <c r="I58" s="1" t="s">
        <v>4</v>
      </c>
      <c r="J58" s="1" t="s">
        <v>13</v>
      </c>
      <c r="K58" s="1" t="s">
        <v>14</v>
      </c>
      <c r="L58" s="1" t="s">
        <v>15</v>
      </c>
      <c r="M58" s="1" t="s">
        <v>16</v>
      </c>
      <c r="N58" s="11" t="s">
        <v>17</v>
      </c>
      <c r="O58" s="1" t="s">
        <v>42</v>
      </c>
      <c r="P58" s="5"/>
      <c r="Q58" s="10" t="s">
        <v>0</v>
      </c>
      <c r="R58" s="1" t="s">
        <v>1</v>
      </c>
      <c r="S58" s="1" t="s">
        <v>2</v>
      </c>
      <c r="T58" s="1" t="s">
        <v>3</v>
      </c>
      <c r="U58" s="1" t="s">
        <v>4</v>
      </c>
      <c r="V58" s="1" t="s">
        <v>13</v>
      </c>
      <c r="W58" s="1" t="s">
        <v>14</v>
      </c>
      <c r="X58" s="1" t="s">
        <v>15</v>
      </c>
      <c r="Y58" s="1" t="s">
        <v>16</v>
      </c>
      <c r="Z58" s="1" t="s">
        <v>17</v>
      </c>
      <c r="AA58" s="1" t="s">
        <v>107</v>
      </c>
      <c r="AB58" s="11" t="s">
        <v>5</v>
      </c>
      <c r="AC58" s="1"/>
    </row>
    <row r="59" spans="1:29" ht="6.75" customHeight="1" x14ac:dyDescent="0.25">
      <c r="A59" s="4"/>
      <c r="B59" s="5"/>
      <c r="C59" s="6"/>
      <c r="D59" s="5"/>
      <c r="E59" s="4"/>
      <c r="F59" s="5"/>
      <c r="G59" s="5"/>
      <c r="H59" s="5"/>
      <c r="I59" s="5"/>
      <c r="J59" s="5"/>
      <c r="K59" s="5"/>
      <c r="L59" s="5"/>
      <c r="M59" s="5"/>
      <c r="N59" s="6"/>
      <c r="O59" s="5"/>
      <c r="P59" s="5"/>
      <c r="Q59" s="4"/>
      <c r="R59" s="5"/>
      <c r="S59" s="5"/>
      <c r="T59" s="5"/>
      <c r="U59" s="5"/>
      <c r="V59" s="5"/>
      <c r="W59" s="5"/>
      <c r="X59" s="5"/>
      <c r="Y59" s="5"/>
      <c r="Z59" s="5"/>
      <c r="AA59" s="5"/>
      <c r="AB59" s="6"/>
      <c r="AC59" s="5"/>
    </row>
    <row r="60" spans="1:29" ht="15.75" customHeight="1" x14ac:dyDescent="0.25">
      <c r="A60" s="4" t="s">
        <v>73</v>
      </c>
      <c r="B60" s="5"/>
      <c r="C60" s="6"/>
      <c r="D60" s="5"/>
      <c r="E60" s="4"/>
      <c r="F60" s="5"/>
      <c r="G60" s="5"/>
      <c r="H60" s="5"/>
      <c r="I60" s="5"/>
      <c r="J60" s="5"/>
      <c r="K60" s="5"/>
      <c r="L60" s="5"/>
      <c r="M60" s="5"/>
      <c r="N60" s="6"/>
      <c r="O60" s="5"/>
      <c r="P60" s="5"/>
      <c r="Q60" s="70">
        <f>1*SQRT(1+B15)</f>
        <v>1.014889156509222</v>
      </c>
      <c r="R60" s="71">
        <f t="shared" ref="R60:AA60" si="34">Q60*(1+$B15)</f>
        <v>1.0453358312044987</v>
      </c>
      <c r="S60" s="71">
        <f t="shared" si="34"/>
        <v>1.0766959061406336</v>
      </c>
      <c r="T60" s="71">
        <f t="shared" si="34"/>
        <v>1.1089967833248526</v>
      </c>
      <c r="U60" s="71">
        <f t="shared" si="34"/>
        <v>1.1422666868245983</v>
      </c>
      <c r="V60" s="71">
        <f t="shared" si="34"/>
        <v>1.1765346874293363</v>
      </c>
      <c r="W60" s="71">
        <f t="shared" si="34"/>
        <v>1.2118307280522165</v>
      </c>
      <c r="X60" s="71">
        <f t="shared" si="34"/>
        <v>1.2481856498937831</v>
      </c>
      <c r="Y60" s="71">
        <f t="shared" si="34"/>
        <v>1.2856312193905965</v>
      </c>
      <c r="Z60" s="71">
        <f t="shared" si="34"/>
        <v>1.3242001559723144</v>
      </c>
      <c r="AA60" s="71">
        <f t="shared" si="34"/>
        <v>1.3639261606514839</v>
      </c>
      <c r="AB60" s="6"/>
      <c r="AC60" s="5"/>
    </row>
    <row r="61" spans="1:29" ht="6.75" customHeight="1" x14ac:dyDescent="0.25">
      <c r="A61" s="4"/>
      <c r="B61" s="5"/>
      <c r="C61" s="6"/>
      <c r="D61" s="5"/>
      <c r="E61" s="4"/>
      <c r="F61" s="5"/>
      <c r="G61" s="5"/>
      <c r="H61" s="5"/>
      <c r="I61" s="5"/>
      <c r="J61" s="5"/>
      <c r="K61" s="5"/>
      <c r="L61" s="5"/>
      <c r="M61" s="5"/>
      <c r="N61" s="6"/>
      <c r="O61" s="5"/>
      <c r="P61" s="5"/>
      <c r="Q61" s="4"/>
      <c r="R61" s="5"/>
      <c r="S61" s="5"/>
      <c r="T61" s="5"/>
      <c r="U61" s="5"/>
      <c r="V61" s="5"/>
      <c r="W61" s="5"/>
      <c r="X61" s="5"/>
      <c r="Y61" s="5"/>
      <c r="Z61" s="5"/>
      <c r="AA61" s="5"/>
      <c r="AB61" s="6"/>
      <c r="AC61" s="5"/>
    </row>
    <row r="62" spans="1:29" ht="16.5" customHeight="1" x14ac:dyDescent="0.25">
      <c r="A62" s="32" t="s">
        <v>75</v>
      </c>
      <c r="B62" s="35"/>
      <c r="C62" s="28"/>
      <c r="D62" s="5"/>
      <c r="E62" s="4"/>
      <c r="F62" s="5"/>
      <c r="G62" s="5"/>
      <c r="H62" s="5"/>
      <c r="I62" s="5"/>
      <c r="J62" s="5"/>
      <c r="K62" s="5"/>
      <c r="L62" s="5"/>
      <c r="M62" s="5"/>
      <c r="N62" s="6"/>
      <c r="O62" s="5"/>
      <c r="P62" s="5"/>
      <c r="Q62" s="4"/>
      <c r="R62" s="5"/>
      <c r="S62" s="5"/>
      <c r="T62" s="5"/>
      <c r="U62" s="5"/>
      <c r="V62" s="5"/>
      <c r="W62" s="5"/>
      <c r="X62" s="5"/>
      <c r="Y62" s="5"/>
      <c r="Z62" s="5"/>
      <c r="AA62" s="5"/>
      <c r="AB62" s="6"/>
      <c r="AC62" s="5"/>
    </row>
    <row r="63" spans="1:29" x14ac:dyDescent="0.25">
      <c r="A63" s="4" t="s">
        <v>19</v>
      </c>
      <c r="B63" s="5"/>
      <c r="C63" s="29"/>
      <c r="D63" s="15"/>
      <c r="E63" s="30">
        <f>1/3</f>
        <v>0.33333333333333331</v>
      </c>
      <c r="F63" s="31">
        <f>1/3</f>
        <v>0.33333333333333331</v>
      </c>
      <c r="G63" s="31">
        <v>0.33333333333333331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63">
        <v>0</v>
      </c>
      <c r="O63" s="57">
        <f>SUM(E63:N63)</f>
        <v>1</v>
      </c>
      <c r="P63" s="5"/>
      <c r="Q63" s="16">
        <f t="shared" ref="Q63:AA63" si="35">Q21*Q$60</f>
        <v>405.95566260368878</v>
      </c>
      <c r="R63" s="12">
        <f t="shared" si="35"/>
        <v>418.13433248179945</v>
      </c>
      <c r="S63" s="12">
        <f t="shared" si="35"/>
        <v>430.67836245625347</v>
      </c>
      <c r="T63" s="12">
        <f t="shared" si="35"/>
        <v>0</v>
      </c>
      <c r="U63" s="12">
        <f t="shared" si="35"/>
        <v>0</v>
      </c>
      <c r="V63" s="12">
        <f t="shared" si="35"/>
        <v>0</v>
      </c>
      <c r="W63" s="12">
        <f t="shared" si="35"/>
        <v>0</v>
      </c>
      <c r="X63" s="12">
        <f t="shared" si="35"/>
        <v>0</v>
      </c>
      <c r="Y63" s="12">
        <f t="shared" si="35"/>
        <v>0</v>
      </c>
      <c r="Z63" s="12">
        <f t="shared" si="35"/>
        <v>0</v>
      </c>
      <c r="AA63" s="12">
        <f t="shared" si="35"/>
        <v>0</v>
      </c>
      <c r="AB63" s="13">
        <f>SUM(Q63:AA63)</f>
        <v>1254.7683575417418</v>
      </c>
      <c r="AC63" s="12"/>
    </row>
    <row r="64" spans="1:29" x14ac:dyDescent="0.25">
      <c r="A64" s="4" t="s">
        <v>20</v>
      </c>
      <c r="B64" s="5"/>
      <c r="C64" s="29"/>
      <c r="D64" s="15"/>
      <c r="E64" s="30">
        <v>0.5</v>
      </c>
      <c r="F64" s="31">
        <v>0.3</v>
      </c>
      <c r="G64" s="31">
        <v>0.2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63">
        <v>0</v>
      </c>
      <c r="O64" s="57">
        <f t="shared" ref="O64:O68" si="36">SUM(E64:N64)</f>
        <v>1</v>
      </c>
      <c r="P64" s="5"/>
      <c r="Q64" s="16">
        <f t="shared" ref="Q64:AA64" si="37">Q22*Q$60</f>
        <v>1420.8448191129107</v>
      </c>
      <c r="R64" s="12">
        <f t="shared" si="37"/>
        <v>878.08209821177888</v>
      </c>
      <c r="S64" s="12">
        <f t="shared" si="37"/>
        <v>602.94970743875479</v>
      </c>
      <c r="T64" s="12">
        <f t="shared" si="37"/>
        <v>0</v>
      </c>
      <c r="U64" s="12">
        <f t="shared" si="37"/>
        <v>0</v>
      </c>
      <c r="V64" s="12">
        <f t="shared" si="37"/>
        <v>0</v>
      </c>
      <c r="W64" s="12">
        <f t="shared" si="37"/>
        <v>0</v>
      </c>
      <c r="X64" s="12">
        <f t="shared" si="37"/>
        <v>0</v>
      </c>
      <c r="Y64" s="12">
        <f t="shared" si="37"/>
        <v>0</v>
      </c>
      <c r="Z64" s="12">
        <f t="shared" si="37"/>
        <v>0</v>
      </c>
      <c r="AA64" s="12">
        <f t="shared" si="37"/>
        <v>0</v>
      </c>
      <c r="AB64" s="13">
        <f t="shared" ref="AB64:AB71" si="38">SUM(Q64:AA64)</f>
        <v>2901.8766247634439</v>
      </c>
      <c r="AC64" s="12"/>
    </row>
    <row r="65" spans="1:29" x14ac:dyDescent="0.25">
      <c r="A65" s="4" t="s">
        <v>32</v>
      </c>
      <c r="B65" s="5"/>
      <c r="C65" s="43"/>
      <c r="D65" s="15"/>
      <c r="E65" s="30">
        <v>0.5</v>
      </c>
      <c r="F65" s="31">
        <v>0.5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63">
        <v>0</v>
      </c>
      <c r="O65" s="57">
        <f t="shared" si="36"/>
        <v>1</v>
      </c>
      <c r="P65" s="5"/>
      <c r="Q65" s="16">
        <f t="shared" ref="Q65:AA65" si="39">Q23*Q$60</f>
        <v>608.93349390553317</v>
      </c>
      <c r="R65" s="12">
        <f t="shared" si="39"/>
        <v>627.20149872269917</v>
      </c>
      <c r="S65" s="12">
        <f t="shared" si="39"/>
        <v>0</v>
      </c>
      <c r="T65" s="12">
        <f t="shared" si="39"/>
        <v>0</v>
      </c>
      <c r="U65" s="12">
        <f t="shared" si="39"/>
        <v>0</v>
      </c>
      <c r="V65" s="12">
        <f t="shared" si="39"/>
        <v>0</v>
      </c>
      <c r="W65" s="12">
        <f t="shared" si="39"/>
        <v>0</v>
      </c>
      <c r="X65" s="12">
        <f t="shared" si="39"/>
        <v>0</v>
      </c>
      <c r="Y65" s="12">
        <f t="shared" si="39"/>
        <v>0</v>
      </c>
      <c r="Z65" s="12">
        <f t="shared" si="39"/>
        <v>0</v>
      </c>
      <c r="AA65" s="12">
        <f t="shared" si="39"/>
        <v>0</v>
      </c>
      <c r="AB65" s="13">
        <f t="shared" si="38"/>
        <v>1236.1349926282323</v>
      </c>
      <c r="AC65" s="12"/>
    </row>
    <row r="66" spans="1:29" x14ac:dyDescent="0.25">
      <c r="A66" s="4" t="s">
        <v>27</v>
      </c>
      <c r="B66" s="5"/>
      <c r="C66" s="29"/>
      <c r="D66" s="15"/>
      <c r="E66" s="30">
        <v>1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63">
        <v>0</v>
      </c>
      <c r="O66" s="57">
        <f t="shared" si="36"/>
        <v>1</v>
      </c>
      <c r="P66" s="5"/>
      <c r="Q66" s="16">
        <f t="shared" ref="Q66:AA66" si="40">Q24*Q$60</f>
        <v>1014.8891565092219</v>
      </c>
      <c r="R66" s="12">
        <f t="shared" si="40"/>
        <v>0</v>
      </c>
      <c r="S66" s="12">
        <f t="shared" si="40"/>
        <v>0</v>
      </c>
      <c r="T66" s="12">
        <f t="shared" si="40"/>
        <v>0</v>
      </c>
      <c r="U66" s="12">
        <f t="shared" si="40"/>
        <v>0</v>
      </c>
      <c r="V66" s="12">
        <f t="shared" si="40"/>
        <v>0</v>
      </c>
      <c r="W66" s="12">
        <f t="shared" si="40"/>
        <v>0</v>
      </c>
      <c r="X66" s="12">
        <f t="shared" si="40"/>
        <v>0</v>
      </c>
      <c r="Y66" s="12">
        <f t="shared" si="40"/>
        <v>0</v>
      </c>
      <c r="Z66" s="12">
        <f t="shared" si="40"/>
        <v>0</v>
      </c>
      <c r="AA66" s="12">
        <f t="shared" si="40"/>
        <v>0</v>
      </c>
      <c r="AB66" s="13">
        <f t="shared" si="38"/>
        <v>1014.8891565092219</v>
      </c>
      <c r="AC66" s="12"/>
    </row>
    <row r="67" spans="1:29" x14ac:dyDescent="0.25">
      <c r="A67" s="4" t="s">
        <v>21</v>
      </c>
      <c r="B67" s="5"/>
      <c r="C67" s="29"/>
      <c r="D67" s="15"/>
      <c r="E67" s="30">
        <v>0.2</v>
      </c>
      <c r="F67" s="31">
        <v>0.5</v>
      </c>
      <c r="G67" s="31">
        <v>0.3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63">
        <v>0</v>
      </c>
      <c r="O67" s="57">
        <f t="shared" si="36"/>
        <v>1</v>
      </c>
      <c r="P67" s="5"/>
      <c r="Q67" s="16">
        <f t="shared" ref="Q67:AA67" si="41">Q25*Q$60</f>
        <v>690.12462642627088</v>
      </c>
      <c r="R67" s="12">
        <f t="shared" si="41"/>
        <v>1777.0709130476478</v>
      </c>
      <c r="S67" s="12">
        <f t="shared" si="41"/>
        <v>1098.2298242634463</v>
      </c>
      <c r="T67" s="12">
        <f t="shared" si="41"/>
        <v>0</v>
      </c>
      <c r="U67" s="12">
        <f t="shared" si="41"/>
        <v>0</v>
      </c>
      <c r="V67" s="12">
        <f t="shared" si="41"/>
        <v>0</v>
      </c>
      <c r="W67" s="12">
        <f t="shared" si="41"/>
        <v>0</v>
      </c>
      <c r="X67" s="12">
        <f t="shared" si="41"/>
        <v>0</v>
      </c>
      <c r="Y67" s="12">
        <f t="shared" si="41"/>
        <v>0</v>
      </c>
      <c r="Z67" s="12">
        <f t="shared" si="41"/>
        <v>0</v>
      </c>
      <c r="AA67" s="12">
        <f t="shared" si="41"/>
        <v>0</v>
      </c>
      <c r="AB67" s="13">
        <f t="shared" si="38"/>
        <v>3565.4253637373649</v>
      </c>
      <c r="AC67" s="12"/>
    </row>
    <row r="68" spans="1:29" x14ac:dyDescent="0.25">
      <c r="A68" s="4" t="s">
        <v>33</v>
      </c>
      <c r="B68" s="5"/>
      <c r="C68" s="43"/>
      <c r="D68" s="15"/>
      <c r="E68" s="30">
        <v>0.2</v>
      </c>
      <c r="F68" s="31">
        <v>0.5</v>
      </c>
      <c r="G68" s="31">
        <v>0.3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63">
        <v>0</v>
      </c>
      <c r="O68" s="57">
        <f t="shared" si="36"/>
        <v>1</v>
      </c>
      <c r="P68" s="5"/>
      <c r="Q68" s="16">
        <f t="shared" ref="Q68:AA68" si="42">Q26*Q$60</f>
        <v>225.37846476431594</v>
      </c>
      <c r="R68" s="12">
        <f t="shared" si="42"/>
        <v>580.34954676811356</v>
      </c>
      <c r="S68" s="12">
        <f t="shared" si="42"/>
        <v>358.65601990269414</v>
      </c>
      <c r="T68" s="12">
        <f t="shared" si="42"/>
        <v>0</v>
      </c>
      <c r="U68" s="12">
        <f t="shared" si="42"/>
        <v>0</v>
      </c>
      <c r="V68" s="12">
        <f t="shared" si="42"/>
        <v>0</v>
      </c>
      <c r="W68" s="12">
        <f t="shared" si="42"/>
        <v>0</v>
      </c>
      <c r="X68" s="12">
        <f t="shared" si="42"/>
        <v>0</v>
      </c>
      <c r="Y68" s="12">
        <f t="shared" si="42"/>
        <v>0</v>
      </c>
      <c r="Z68" s="12">
        <f t="shared" si="42"/>
        <v>0</v>
      </c>
      <c r="AA68" s="12">
        <f t="shared" si="42"/>
        <v>0</v>
      </c>
      <c r="AB68" s="13">
        <f t="shared" si="38"/>
        <v>1164.3840314351237</v>
      </c>
      <c r="AC68" s="12"/>
    </row>
    <row r="69" spans="1:29" x14ac:dyDescent="0.25">
      <c r="A69" s="40" t="s">
        <v>26</v>
      </c>
      <c r="B69" s="5"/>
      <c r="C69" s="43"/>
      <c r="D69" s="15"/>
      <c r="E69" s="30"/>
      <c r="F69" s="31"/>
      <c r="G69" s="31"/>
      <c r="H69" s="31"/>
      <c r="I69" s="31"/>
      <c r="J69" s="31"/>
      <c r="K69" s="31"/>
      <c r="L69" s="31"/>
      <c r="M69" s="31"/>
      <c r="N69" s="63"/>
      <c r="O69" s="57"/>
      <c r="P69" s="5"/>
      <c r="Q69" s="16">
        <f>SUM(Q63:Q68)</f>
        <v>4366.1262233219413</v>
      </c>
      <c r="R69" s="12">
        <f t="shared" ref="R69:Z69" si="43">SUM(R63:R68)</f>
        <v>4280.8383892320389</v>
      </c>
      <c r="S69" s="12">
        <f t="shared" si="43"/>
        <v>2490.5139140611486</v>
      </c>
      <c r="T69" s="12">
        <f t="shared" si="43"/>
        <v>0</v>
      </c>
      <c r="U69" s="12">
        <f t="shared" si="43"/>
        <v>0</v>
      </c>
      <c r="V69" s="12">
        <f t="shared" si="43"/>
        <v>0</v>
      </c>
      <c r="W69" s="12">
        <f t="shared" si="43"/>
        <v>0</v>
      </c>
      <c r="X69" s="12">
        <f t="shared" si="43"/>
        <v>0</v>
      </c>
      <c r="Y69" s="12">
        <f t="shared" si="43"/>
        <v>0</v>
      </c>
      <c r="Z69" s="12">
        <f t="shared" si="43"/>
        <v>0</v>
      </c>
      <c r="AA69" s="12">
        <f t="shared" ref="AA69" si="44">SUM(AA63:AA68)</f>
        <v>0</v>
      </c>
      <c r="AB69" s="13">
        <f t="shared" si="38"/>
        <v>11137.478526615128</v>
      </c>
      <c r="AC69" s="12"/>
    </row>
    <row r="70" spans="1:29" x14ac:dyDescent="0.25">
      <c r="A70" s="4" t="s">
        <v>78</v>
      </c>
      <c r="B70" s="5"/>
      <c r="C70" s="29"/>
      <c r="D70" s="15"/>
      <c r="E70" s="30">
        <f>0.25/3</f>
        <v>8.3333333333333329E-2</v>
      </c>
      <c r="F70" s="31">
        <f>0.25/3</f>
        <v>8.3333333333333329E-2</v>
      </c>
      <c r="G70" s="31">
        <f>0.25/3</f>
        <v>8.3333333333333329E-2</v>
      </c>
      <c r="H70" s="31">
        <v>0.75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63">
        <v>0</v>
      </c>
      <c r="O70" s="57">
        <f t="shared" ref="O70" si="45">SUM(E70:N70)</f>
        <v>1</v>
      </c>
      <c r="P70" s="5"/>
      <c r="Q70" s="16">
        <f t="shared" ref="Q70:AA70" si="46">Q28*Q$60</f>
        <v>338.29638550307396</v>
      </c>
      <c r="R70" s="12">
        <f t="shared" si="46"/>
        <v>348.44527706816621</v>
      </c>
      <c r="S70" s="12">
        <f t="shared" si="46"/>
        <v>358.8986353802112</v>
      </c>
      <c r="T70" s="12">
        <f t="shared" si="46"/>
        <v>3326.9903499745578</v>
      </c>
      <c r="U70" s="12">
        <f t="shared" si="46"/>
        <v>0</v>
      </c>
      <c r="V70" s="12">
        <f t="shared" si="46"/>
        <v>0</v>
      </c>
      <c r="W70" s="12">
        <f t="shared" si="46"/>
        <v>0</v>
      </c>
      <c r="X70" s="12">
        <f t="shared" si="46"/>
        <v>0</v>
      </c>
      <c r="Y70" s="12">
        <f t="shared" si="46"/>
        <v>0</v>
      </c>
      <c r="Z70" s="12">
        <f t="shared" si="46"/>
        <v>0</v>
      </c>
      <c r="AA70" s="12">
        <f t="shared" si="46"/>
        <v>0</v>
      </c>
      <c r="AB70" s="13">
        <f t="shared" si="38"/>
        <v>4372.6306479260093</v>
      </c>
      <c r="AC70" s="12"/>
    </row>
    <row r="71" spans="1:29" x14ac:dyDescent="0.25">
      <c r="A71" s="41" t="s">
        <v>58</v>
      </c>
      <c r="B71" s="39"/>
      <c r="C71" s="43"/>
      <c r="D71" s="15"/>
      <c r="E71" s="30"/>
      <c r="F71" s="31"/>
      <c r="G71" s="31"/>
      <c r="H71" s="31"/>
      <c r="I71" s="31"/>
      <c r="J71" s="31"/>
      <c r="K71" s="31"/>
      <c r="L71" s="31"/>
      <c r="M71" s="31"/>
      <c r="N71" s="63"/>
      <c r="O71" s="57"/>
      <c r="P71" s="5"/>
      <c r="Q71" s="16">
        <f>Q69+Q70</f>
        <v>4704.4226088250152</v>
      </c>
      <c r="R71" s="12">
        <f t="shared" ref="R71:Z71" si="47">R69+R70</f>
        <v>4629.2836663002054</v>
      </c>
      <c r="S71" s="12">
        <f t="shared" si="47"/>
        <v>2849.4125494413597</v>
      </c>
      <c r="T71" s="12">
        <f t="shared" si="47"/>
        <v>3326.9903499745578</v>
      </c>
      <c r="U71" s="12">
        <f t="shared" si="47"/>
        <v>0</v>
      </c>
      <c r="V71" s="12">
        <f t="shared" si="47"/>
        <v>0</v>
      </c>
      <c r="W71" s="12">
        <f t="shared" si="47"/>
        <v>0</v>
      </c>
      <c r="X71" s="12">
        <f t="shared" si="47"/>
        <v>0</v>
      </c>
      <c r="Y71" s="12">
        <f t="shared" si="47"/>
        <v>0</v>
      </c>
      <c r="Z71" s="12">
        <f t="shared" si="47"/>
        <v>0</v>
      </c>
      <c r="AA71" s="12">
        <f t="shared" ref="AA71" si="48">AA69+AA70</f>
        <v>0</v>
      </c>
      <c r="AB71" s="13">
        <f t="shared" si="38"/>
        <v>15510.109174541138</v>
      </c>
      <c r="AC71" s="12"/>
    </row>
    <row r="72" spans="1:29" x14ac:dyDescent="0.25">
      <c r="A72" s="41"/>
      <c r="B72" s="39"/>
      <c r="C72" s="43"/>
      <c r="D72" s="15"/>
      <c r="E72" s="30"/>
      <c r="F72" s="31"/>
      <c r="G72" s="31"/>
      <c r="H72" s="31"/>
      <c r="I72" s="31"/>
      <c r="J72" s="31"/>
      <c r="K72" s="31"/>
      <c r="L72" s="31"/>
      <c r="M72" s="31"/>
      <c r="N72" s="63"/>
      <c r="O72" s="57"/>
      <c r="P72" s="5"/>
      <c r="Q72" s="16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3"/>
      <c r="AC72" s="12"/>
    </row>
    <row r="73" spans="1:29" x14ac:dyDescent="0.25">
      <c r="A73" s="68" t="s">
        <v>77</v>
      </c>
      <c r="B73" s="55"/>
      <c r="C73" s="28"/>
      <c r="D73" s="15"/>
      <c r="E73" s="30"/>
      <c r="F73" s="31"/>
      <c r="G73" s="31"/>
      <c r="H73" s="31"/>
      <c r="I73" s="31"/>
      <c r="J73" s="31"/>
      <c r="K73" s="31"/>
      <c r="L73" s="31"/>
      <c r="M73" s="31"/>
      <c r="N73" s="63"/>
      <c r="O73" s="57"/>
      <c r="P73" s="5"/>
      <c r="Q73" s="16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3"/>
      <c r="AC73" s="12"/>
    </row>
    <row r="74" spans="1:29" x14ac:dyDescent="0.25">
      <c r="A74" s="4" t="s">
        <v>106</v>
      </c>
      <c r="B74" s="58"/>
      <c r="C74" s="43"/>
      <c r="D74" s="15"/>
      <c r="E74" s="30"/>
      <c r="F74" s="31"/>
      <c r="G74" s="31"/>
      <c r="H74" s="31"/>
      <c r="I74" s="31"/>
      <c r="J74" s="31"/>
      <c r="K74" s="31"/>
      <c r="L74" s="31"/>
      <c r="M74" s="31"/>
      <c r="N74" s="63"/>
      <c r="O74" s="57"/>
      <c r="P74" s="5"/>
      <c r="Q74" s="16">
        <f t="shared" ref="Q74:Z74" si="49">Q32*Q$60</f>
        <v>470.44226088250156</v>
      </c>
      <c r="R74" s="12">
        <f t="shared" si="49"/>
        <v>947.48389533899717</v>
      </c>
      <c r="S74" s="12">
        <f t="shared" si="49"/>
        <v>761.75747257305716</v>
      </c>
      <c r="T74" s="12">
        <f t="shared" si="49"/>
        <v>626.18852758991602</v>
      </c>
      <c r="U74" s="12">
        <f t="shared" si="49"/>
        <v>342.68000604737949</v>
      </c>
      <c r="V74" s="12">
        <f t="shared" si="49"/>
        <v>0</v>
      </c>
      <c r="W74" s="12">
        <f t="shared" si="49"/>
        <v>0</v>
      </c>
      <c r="X74" s="12">
        <f t="shared" si="49"/>
        <v>0</v>
      </c>
      <c r="Y74" s="12">
        <f t="shared" si="49"/>
        <v>0</v>
      </c>
      <c r="Z74" s="12">
        <f t="shared" si="49"/>
        <v>0</v>
      </c>
      <c r="AA74" s="12">
        <f t="shared" ref="AA74" si="50">AA32*AA$60</f>
        <v>0</v>
      </c>
      <c r="AB74" s="13">
        <f t="shared" ref="AB74:AB76" si="51">SUM(Q74:AA74)</f>
        <v>3148.5521624318517</v>
      </c>
      <c r="AC74" s="12"/>
    </row>
    <row r="75" spans="1:29" x14ac:dyDescent="0.25">
      <c r="A75" s="4" t="s">
        <v>67</v>
      </c>
      <c r="B75" s="58"/>
      <c r="C75" s="43"/>
      <c r="D75" s="15"/>
      <c r="E75" s="30"/>
      <c r="F75" s="31"/>
      <c r="G75" s="31"/>
      <c r="H75" s="31"/>
      <c r="I75" s="31"/>
      <c r="J75" s="31"/>
      <c r="K75" s="31"/>
      <c r="L75" s="31"/>
      <c r="M75" s="31"/>
      <c r="N75" s="63"/>
      <c r="O75" s="57"/>
      <c r="P75" s="5"/>
      <c r="Q75" s="16">
        <v>0</v>
      </c>
      <c r="R75" s="12">
        <f t="shared" ref="R75:AA75" si="52">Q71*$B13</f>
        <v>517.48648697075168</v>
      </c>
      <c r="S75" s="12">
        <f t="shared" si="52"/>
        <v>509.2212032930226</v>
      </c>
      <c r="T75" s="12">
        <f t="shared" si="52"/>
        <v>313.43538043854954</v>
      </c>
      <c r="U75" s="12">
        <f t="shared" si="52"/>
        <v>365.96893849720135</v>
      </c>
      <c r="V75" s="72">
        <f t="shared" si="52"/>
        <v>0</v>
      </c>
      <c r="W75" s="72">
        <f t="shared" si="52"/>
        <v>0</v>
      </c>
      <c r="X75" s="72">
        <f t="shared" si="52"/>
        <v>0</v>
      </c>
      <c r="Y75" s="72">
        <f t="shared" si="52"/>
        <v>0</v>
      </c>
      <c r="Z75" s="72">
        <f t="shared" si="52"/>
        <v>0</v>
      </c>
      <c r="AA75" s="72">
        <f t="shared" si="52"/>
        <v>0</v>
      </c>
      <c r="AB75" s="13">
        <f t="shared" si="51"/>
        <v>1706.1120091995253</v>
      </c>
      <c r="AC75" s="12"/>
    </row>
    <row r="76" spans="1:29" x14ac:dyDescent="0.25">
      <c r="A76" s="40" t="s">
        <v>26</v>
      </c>
      <c r="B76" s="58"/>
      <c r="C76" s="43"/>
      <c r="D76" s="15"/>
      <c r="E76" s="30"/>
      <c r="F76" s="31"/>
      <c r="G76" s="31"/>
      <c r="H76" s="31"/>
      <c r="I76" s="31"/>
      <c r="J76" s="31"/>
      <c r="K76" s="31"/>
      <c r="L76" s="31"/>
      <c r="M76" s="31"/>
      <c r="N76" s="63"/>
      <c r="O76" s="57"/>
      <c r="P76" s="5"/>
      <c r="Q76" s="16">
        <f t="shared" ref="Q76:AA76" si="53">SUM(Q74:Q75)</f>
        <v>470.44226088250156</v>
      </c>
      <c r="R76" s="12">
        <f t="shared" si="53"/>
        <v>1464.9703823097489</v>
      </c>
      <c r="S76" s="12">
        <f t="shared" si="53"/>
        <v>1270.9786758660798</v>
      </c>
      <c r="T76" s="12">
        <f t="shared" si="53"/>
        <v>939.62390802846562</v>
      </c>
      <c r="U76" s="12">
        <f t="shared" si="53"/>
        <v>708.6489445445809</v>
      </c>
      <c r="V76" s="12">
        <f t="shared" si="53"/>
        <v>0</v>
      </c>
      <c r="W76" s="12">
        <f t="shared" si="53"/>
        <v>0</v>
      </c>
      <c r="X76" s="12">
        <f t="shared" si="53"/>
        <v>0</v>
      </c>
      <c r="Y76" s="12">
        <f t="shared" si="53"/>
        <v>0</v>
      </c>
      <c r="Z76" s="12">
        <f t="shared" si="53"/>
        <v>0</v>
      </c>
      <c r="AA76" s="12">
        <f t="shared" si="53"/>
        <v>0</v>
      </c>
      <c r="AB76" s="13">
        <f t="shared" si="51"/>
        <v>4854.664171631377</v>
      </c>
      <c r="AC76" s="12"/>
    </row>
    <row r="77" spans="1:29" x14ac:dyDescent="0.25">
      <c r="A77" s="4"/>
      <c r="B77" s="58"/>
      <c r="C77" s="43"/>
      <c r="D77" s="15"/>
      <c r="E77" s="30"/>
      <c r="F77" s="31"/>
      <c r="G77" s="31"/>
      <c r="H77" s="31"/>
      <c r="I77" s="31"/>
      <c r="J77" s="31"/>
      <c r="K77" s="31"/>
      <c r="L77" s="31"/>
      <c r="M77" s="31"/>
      <c r="N77" s="63"/>
      <c r="O77" s="57"/>
      <c r="P77" s="5"/>
      <c r="Q77" s="16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3"/>
      <c r="AC77" s="12"/>
    </row>
    <row r="78" spans="1:29" x14ac:dyDescent="0.25">
      <c r="A78" s="32" t="s">
        <v>36</v>
      </c>
      <c r="B78" s="56"/>
      <c r="C78" s="28"/>
      <c r="D78" s="15"/>
      <c r="E78" s="30"/>
      <c r="F78" s="31"/>
      <c r="G78" s="31"/>
      <c r="H78" s="31"/>
      <c r="I78" s="31"/>
      <c r="J78" s="31"/>
      <c r="K78" s="31"/>
      <c r="L78" s="31"/>
      <c r="M78" s="31"/>
      <c r="N78" s="63"/>
      <c r="O78" s="57"/>
      <c r="P78" s="5"/>
      <c r="Q78" s="16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3"/>
      <c r="AC78" s="12"/>
    </row>
    <row r="79" spans="1:29" x14ac:dyDescent="0.25">
      <c r="A79" s="4" t="s">
        <v>56</v>
      </c>
      <c r="B79" s="54">
        <f>B48*B49*B50</f>
        <v>0</v>
      </c>
      <c r="C79" s="43"/>
      <c r="D79" s="15"/>
      <c r="E79" s="30">
        <v>0</v>
      </c>
      <c r="F79" s="31">
        <v>0</v>
      </c>
      <c r="G79" s="31">
        <v>0</v>
      </c>
      <c r="H79" s="31">
        <v>1</v>
      </c>
      <c r="I79" s="31">
        <v>1</v>
      </c>
      <c r="J79" s="31">
        <v>1</v>
      </c>
      <c r="K79" s="31">
        <v>1</v>
      </c>
      <c r="L79" s="31">
        <v>1</v>
      </c>
      <c r="M79" s="31">
        <v>1</v>
      </c>
      <c r="N79" s="63">
        <v>1</v>
      </c>
      <c r="O79" s="57">
        <f>SUM(E79:N79)</f>
        <v>7</v>
      </c>
      <c r="P79" s="5"/>
      <c r="Q79" s="16">
        <f t="shared" ref="Q79:AA79" si="54">Q37*Q$60</f>
        <v>0</v>
      </c>
      <c r="R79" s="12">
        <f t="shared" si="54"/>
        <v>0</v>
      </c>
      <c r="S79" s="12">
        <f t="shared" si="54"/>
        <v>0</v>
      </c>
      <c r="T79" s="12">
        <f t="shared" si="54"/>
        <v>9315.5729799287619</v>
      </c>
      <c r="U79" s="12">
        <f t="shared" si="54"/>
        <v>9595.0401693266249</v>
      </c>
      <c r="V79" s="12">
        <f t="shared" si="54"/>
        <v>9882.8913744064248</v>
      </c>
      <c r="W79" s="12">
        <f t="shared" si="54"/>
        <v>10179.378115638618</v>
      </c>
      <c r="X79" s="12">
        <f t="shared" si="54"/>
        <v>10484.759459107778</v>
      </c>
      <c r="Y79" s="12">
        <f t="shared" si="54"/>
        <v>10799.302242881011</v>
      </c>
      <c r="Z79" s="12">
        <f t="shared" si="54"/>
        <v>11123.281310167442</v>
      </c>
      <c r="AA79" s="12">
        <f t="shared" si="54"/>
        <v>0</v>
      </c>
      <c r="AB79" s="13">
        <f t="shared" ref="AB79:AB81" si="55">SUM(Q79:AA79)</f>
        <v>71380.225651456654</v>
      </c>
      <c r="AC79" s="12"/>
    </row>
    <row r="80" spans="1:29" x14ac:dyDescent="0.25">
      <c r="A80" s="4" t="s">
        <v>41</v>
      </c>
      <c r="B80" s="54">
        <f>B79*0.2</f>
        <v>0</v>
      </c>
      <c r="C80" s="43"/>
      <c r="D80" s="15"/>
      <c r="E80" s="30">
        <v>0</v>
      </c>
      <c r="F80" s="31">
        <v>0</v>
      </c>
      <c r="G80" s="31">
        <v>0</v>
      </c>
      <c r="H80" s="31">
        <v>1</v>
      </c>
      <c r="I80" s="31">
        <v>1</v>
      </c>
      <c r="J80" s="31">
        <v>1</v>
      </c>
      <c r="K80" s="31">
        <v>1</v>
      </c>
      <c r="L80" s="31">
        <v>1</v>
      </c>
      <c r="M80" s="31">
        <v>1</v>
      </c>
      <c r="N80" s="63">
        <v>1</v>
      </c>
      <c r="O80" s="57">
        <f>SUM(E80:N80)</f>
        <v>7</v>
      </c>
      <c r="P80" s="5"/>
      <c r="Q80" s="16">
        <f t="shared" ref="Q80:AA80" si="56">Q38*Q$60</f>
        <v>0</v>
      </c>
      <c r="R80" s="12">
        <f t="shared" si="56"/>
        <v>0</v>
      </c>
      <c r="S80" s="12">
        <f t="shared" si="56"/>
        <v>0</v>
      </c>
      <c r="T80" s="12">
        <f t="shared" si="56"/>
        <v>1863.1145959857524</v>
      </c>
      <c r="U80" s="12">
        <f t="shared" si="56"/>
        <v>1919.0080338653252</v>
      </c>
      <c r="V80" s="12">
        <f t="shared" si="56"/>
        <v>1976.5782748812851</v>
      </c>
      <c r="W80" s="12">
        <f t="shared" si="56"/>
        <v>2035.8756231277237</v>
      </c>
      <c r="X80" s="12">
        <f t="shared" si="56"/>
        <v>2096.9518918215558</v>
      </c>
      <c r="Y80" s="12">
        <f t="shared" si="56"/>
        <v>2159.8604485762021</v>
      </c>
      <c r="Z80" s="12">
        <f t="shared" si="56"/>
        <v>2224.6562620334885</v>
      </c>
      <c r="AA80" s="12">
        <f t="shared" si="56"/>
        <v>0</v>
      </c>
      <c r="AB80" s="13">
        <f t="shared" si="55"/>
        <v>14276.045130291333</v>
      </c>
      <c r="AC80" s="12"/>
    </row>
    <row r="81" spans="1:29" x14ac:dyDescent="0.25">
      <c r="A81" s="41" t="s">
        <v>51</v>
      </c>
      <c r="B81" s="54"/>
      <c r="C81" s="43"/>
      <c r="D81" s="15"/>
      <c r="E81" s="30"/>
      <c r="F81" s="31"/>
      <c r="G81" s="31"/>
      <c r="H81" s="31"/>
      <c r="I81" s="31"/>
      <c r="J81" s="31"/>
      <c r="K81" s="31"/>
      <c r="L81" s="31"/>
      <c r="M81" s="31"/>
      <c r="N81" s="63"/>
      <c r="O81" s="57"/>
      <c r="P81" s="5"/>
      <c r="Q81" s="16">
        <f>Q79-Q80</f>
        <v>0</v>
      </c>
      <c r="R81" s="12">
        <f t="shared" ref="R81:Z81" si="57">R79-R80</f>
        <v>0</v>
      </c>
      <c r="S81" s="12">
        <f t="shared" si="57"/>
        <v>0</v>
      </c>
      <c r="T81" s="12">
        <f t="shared" si="57"/>
        <v>7452.4583839430097</v>
      </c>
      <c r="U81" s="12">
        <f t="shared" si="57"/>
        <v>7676.0321354612997</v>
      </c>
      <c r="V81" s="12">
        <f t="shared" si="57"/>
        <v>7906.3130995251395</v>
      </c>
      <c r="W81" s="12">
        <f t="shared" si="57"/>
        <v>8143.5024925108937</v>
      </c>
      <c r="X81" s="12">
        <f t="shared" si="57"/>
        <v>8387.8075672862215</v>
      </c>
      <c r="Y81" s="12">
        <f t="shared" si="57"/>
        <v>8639.4417943048084</v>
      </c>
      <c r="Z81" s="12">
        <f t="shared" si="57"/>
        <v>8898.6250481339539</v>
      </c>
      <c r="AA81" s="12">
        <f t="shared" ref="AA81" si="58">AA79-AA80</f>
        <v>0</v>
      </c>
      <c r="AB81" s="13">
        <f t="shared" si="55"/>
        <v>57104.180521165334</v>
      </c>
      <c r="AC81" s="12"/>
    </row>
    <row r="82" spans="1:29" x14ac:dyDescent="0.25">
      <c r="A82" s="4"/>
      <c r="B82" s="5"/>
      <c r="C82" s="29"/>
      <c r="D82" s="15"/>
      <c r="E82" s="30"/>
      <c r="F82" s="31"/>
      <c r="G82" s="31"/>
      <c r="H82" s="31"/>
      <c r="I82" s="31"/>
      <c r="J82" s="31"/>
      <c r="K82" s="31"/>
      <c r="L82" s="31"/>
      <c r="M82" s="31"/>
      <c r="N82" s="63"/>
      <c r="O82" s="57"/>
      <c r="P82" s="5"/>
      <c r="Q82" s="16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3"/>
      <c r="AC82" s="12"/>
    </row>
    <row r="83" spans="1:29" x14ac:dyDescent="0.25">
      <c r="A83" s="32" t="s">
        <v>22</v>
      </c>
      <c r="B83" s="56"/>
      <c r="C83" s="28"/>
      <c r="D83" s="15"/>
      <c r="E83" s="4"/>
      <c r="F83" s="5"/>
      <c r="G83" s="5"/>
      <c r="H83" s="5"/>
      <c r="I83" s="5"/>
      <c r="J83" s="31"/>
      <c r="K83" s="31"/>
      <c r="L83" s="31"/>
      <c r="M83" s="31"/>
      <c r="N83" s="63"/>
      <c r="O83" s="57"/>
      <c r="P83" s="5"/>
      <c r="Q83" s="16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3"/>
      <c r="AC83" s="12"/>
    </row>
    <row r="84" spans="1:29" x14ac:dyDescent="0.25">
      <c r="A84" s="4" t="s">
        <v>23</v>
      </c>
      <c r="B84" s="35"/>
      <c r="C84" s="43"/>
      <c r="D84" s="15"/>
      <c r="E84" s="30">
        <v>0</v>
      </c>
      <c r="F84" s="31">
        <v>0</v>
      </c>
      <c r="G84" s="31">
        <v>0</v>
      </c>
      <c r="H84" s="31">
        <v>1</v>
      </c>
      <c r="I84" s="31">
        <v>1</v>
      </c>
      <c r="J84" s="31">
        <v>1</v>
      </c>
      <c r="K84" s="31">
        <v>1</v>
      </c>
      <c r="L84" s="31">
        <v>1</v>
      </c>
      <c r="M84" s="31">
        <v>1</v>
      </c>
      <c r="N84" s="63">
        <v>1</v>
      </c>
      <c r="O84" s="57">
        <f t="shared" ref="O84:O85" si="59">SUM(E84:N84)</f>
        <v>7</v>
      </c>
      <c r="P84" s="5"/>
      <c r="Q84" s="16">
        <f t="shared" ref="Q84:AA84" si="60">Q42*Q$60</f>
        <v>0</v>
      </c>
      <c r="R84" s="12">
        <f t="shared" si="60"/>
        <v>0</v>
      </c>
      <c r="S84" s="12">
        <f t="shared" si="60"/>
        <v>0</v>
      </c>
      <c r="T84" s="12">
        <f t="shared" si="60"/>
        <v>221.79935666497053</v>
      </c>
      <c r="U84" s="12">
        <f t="shared" si="60"/>
        <v>228.45333736491966</v>
      </c>
      <c r="V84" s="12">
        <f t="shared" si="60"/>
        <v>235.30693748586725</v>
      </c>
      <c r="W84" s="12">
        <f t="shared" si="60"/>
        <v>242.36614561044328</v>
      </c>
      <c r="X84" s="12">
        <f t="shared" si="60"/>
        <v>249.63712997875663</v>
      </c>
      <c r="Y84" s="12">
        <f t="shared" si="60"/>
        <v>257.12624387811928</v>
      </c>
      <c r="Z84" s="12">
        <f t="shared" si="60"/>
        <v>264.84003119446288</v>
      </c>
      <c r="AA84" s="12">
        <f t="shared" si="60"/>
        <v>0</v>
      </c>
      <c r="AB84" s="13">
        <f t="shared" ref="AB84:AB87" si="61">SUM(Q84:AA84)</f>
        <v>1699.5291821775395</v>
      </c>
      <c r="AC84" s="12"/>
    </row>
    <row r="85" spans="1:29" x14ac:dyDescent="0.25">
      <c r="A85" s="33" t="s">
        <v>37</v>
      </c>
      <c r="B85" s="36"/>
      <c r="C85" s="43"/>
      <c r="D85" s="15"/>
      <c r="E85" s="30">
        <v>0</v>
      </c>
      <c r="F85" s="31">
        <v>0</v>
      </c>
      <c r="G85" s="31">
        <v>0</v>
      </c>
      <c r="H85" s="31">
        <v>1</v>
      </c>
      <c r="I85" s="31">
        <v>1</v>
      </c>
      <c r="J85" s="31">
        <v>1</v>
      </c>
      <c r="K85" s="31">
        <v>1</v>
      </c>
      <c r="L85" s="31">
        <v>1</v>
      </c>
      <c r="M85" s="31">
        <v>1</v>
      </c>
      <c r="N85" s="63">
        <v>1</v>
      </c>
      <c r="O85" s="57">
        <f t="shared" si="59"/>
        <v>7</v>
      </c>
      <c r="P85" s="5"/>
      <c r="Q85" s="16">
        <f t="shared" ref="Q85:AA85" si="62">Q43*Q$60</f>
        <v>0</v>
      </c>
      <c r="R85" s="12">
        <f t="shared" si="62"/>
        <v>0</v>
      </c>
      <c r="S85" s="12">
        <f t="shared" si="62"/>
        <v>0</v>
      </c>
      <c r="T85" s="12">
        <f t="shared" si="62"/>
        <v>2661.5922799796463</v>
      </c>
      <c r="U85" s="12">
        <f t="shared" si="62"/>
        <v>2741.4400483790359</v>
      </c>
      <c r="V85" s="12">
        <f t="shared" si="62"/>
        <v>2823.683249830407</v>
      </c>
      <c r="W85" s="12">
        <f t="shared" si="62"/>
        <v>2908.3937473253195</v>
      </c>
      <c r="X85" s="12">
        <f t="shared" si="62"/>
        <v>2995.6455597450795</v>
      </c>
      <c r="Y85" s="12">
        <f t="shared" si="62"/>
        <v>3085.5149265374316</v>
      </c>
      <c r="Z85" s="12">
        <f t="shared" si="62"/>
        <v>3178.0803743335546</v>
      </c>
      <c r="AA85" s="12">
        <f t="shared" si="62"/>
        <v>0</v>
      </c>
      <c r="AB85" s="13">
        <f t="shared" si="61"/>
        <v>20394.350186130476</v>
      </c>
      <c r="AC85" s="12"/>
    </row>
    <row r="86" spans="1:29" x14ac:dyDescent="0.25">
      <c r="A86" s="4" t="s">
        <v>18</v>
      </c>
      <c r="B86" s="49"/>
      <c r="C86" s="43"/>
      <c r="D86" s="15"/>
      <c r="E86" s="30">
        <v>0</v>
      </c>
      <c r="F86" s="31">
        <v>0</v>
      </c>
      <c r="G86" s="31">
        <v>0</v>
      </c>
      <c r="H86" s="31">
        <v>1</v>
      </c>
      <c r="I86" s="31">
        <v>1</v>
      </c>
      <c r="J86" s="31">
        <v>1</v>
      </c>
      <c r="K86" s="31">
        <v>1</v>
      </c>
      <c r="L86" s="31">
        <v>1</v>
      </c>
      <c r="M86" s="31">
        <v>1</v>
      </c>
      <c r="N86" s="63">
        <v>1</v>
      </c>
      <c r="O86" s="57">
        <f>SUM(E86:N86)</f>
        <v>7</v>
      </c>
      <c r="P86" s="5"/>
      <c r="Q86" s="16">
        <f t="shared" ref="Q86:AA86" si="63">Q44*Q$60</f>
        <v>0</v>
      </c>
      <c r="R86" s="12">
        <f t="shared" si="63"/>
        <v>0</v>
      </c>
      <c r="S86" s="12">
        <f t="shared" si="63"/>
        <v>0</v>
      </c>
      <c r="T86" s="12">
        <f t="shared" si="63"/>
        <v>33.713502213075522</v>
      </c>
      <c r="U86" s="12">
        <f t="shared" si="63"/>
        <v>34.724907279467786</v>
      </c>
      <c r="V86" s="12">
        <f t="shared" si="63"/>
        <v>35.766654497851825</v>
      </c>
      <c r="W86" s="12">
        <f t="shared" si="63"/>
        <v>36.839654132787381</v>
      </c>
      <c r="X86" s="12">
        <f t="shared" si="63"/>
        <v>37.944843756771007</v>
      </c>
      <c r="Y86" s="12">
        <f t="shared" si="63"/>
        <v>39.08318906947413</v>
      </c>
      <c r="Z86" s="12">
        <f t="shared" si="63"/>
        <v>40.255684741558355</v>
      </c>
      <c r="AA86" s="12">
        <f t="shared" si="63"/>
        <v>0</v>
      </c>
      <c r="AB86" s="13">
        <f t="shared" si="61"/>
        <v>258.328435690986</v>
      </c>
      <c r="AC86" s="12"/>
    </row>
    <row r="87" spans="1:29" x14ac:dyDescent="0.25">
      <c r="A87" s="40" t="s">
        <v>5</v>
      </c>
      <c r="B87" s="54"/>
      <c r="C87" s="43"/>
      <c r="D87" s="15"/>
      <c r="E87" s="30"/>
      <c r="F87" s="31"/>
      <c r="G87" s="31"/>
      <c r="H87" s="31"/>
      <c r="I87" s="31"/>
      <c r="J87" s="31"/>
      <c r="K87" s="31"/>
      <c r="L87" s="31"/>
      <c r="M87" s="31"/>
      <c r="N87" s="63"/>
      <c r="O87" s="57"/>
      <c r="P87" s="5"/>
      <c r="Q87" s="16">
        <f t="shared" ref="Q87:Z87" si="64">SUM(Q84:Q86)</f>
        <v>0</v>
      </c>
      <c r="R87" s="12">
        <f t="shared" si="64"/>
        <v>0</v>
      </c>
      <c r="S87" s="12">
        <f t="shared" si="64"/>
        <v>0</v>
      </c>
      <c r="T87" s="12">
        <f t="shared" si="64"/>
        <v>2917.1051388576925</v>
      </c>
      <c r="U87" s="12">
        <f t="shared" si="64"/>
        <v>3004.6182930234236</v>
      </c>
      <c r="V87" s="12">
        <f t="shared" si="64"/>
        <v>3094.7568418141263</v>
      </c>
      <c r="W87" s="12">
        <f t="shared" si="64"/>
        <v>3187.5995470685502</v>
      </c>
      <c r="X87" s="12">
        <f t="shared" si="64"/>
        <v>3283.2275334806072</v>
      </c>
      <c r="Y87" s="12">
        <f t="shared" si="64"/>
        <v>3381.7243594850247</v>
      </c>
      <c r="Z87" s="12">
        <f t="shared" si="64"/>
        <v>3483.176090269576</v>
      </c>
      <c r="AA87" s="12">
        <f t="shared" ref="AA87" si="65">SUM(AA84:AA86)</f>
        <v>0</v>
      </c>
      <c r="AB87" s="13">
        <f t="shared" si="61"/>
        <v>22352.207803999001</v>
      </c>
      <c r="AC87" s="12"/>
    </row>
    <row r="88" spans="1:29" x14ac:dyDescent="0.25">
      <c r="A88" s="4"/>
      <c r="B88" s="44"/>
      <c r="C88" s="29"/>
      <c r="D88" s="15"/>
      <c r="E88" s="30"/>
      <c r="F88" s="31"/>
      <c r="G88" s="31"/>
      <c r="H88" s="31"/>
      <c r="I88" s="31"/>
      <c r="J88" s="31"/>
      <c r="K88" s="31"/>
      <c r="L88" s="31"/>
      <c r="M88" s="31"/>
      <c r="N88" s="63"/>
      <c r="O88" s="57"/>
      <c r="P88" s="5"/>
      <c r="Q88" s="16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3"/>
      <c r="AC88" s="12"/>
    </row>
    <row r="89" spans="1:29" x14ac:dyDescent="0.25">
      <c r="A89" s="32" t="s">
        <v>44</v>
      </c>
      <c r="B89" s="44"/>
      <c r="C89" s="28"/>
      <c r="D89" s="15"/>
      <c r="E89" s="30"/>
      <c r="F89" s="31"/>
      <c r="G89" s="31"/>
      <c r="H89" s="31"/>
      <c r="I89" s="31"/>
      <c r="J89" s="31"/>
      <c r="K89" s="31"/>
      <c r="L89" s="31"/>
      <c r="M89" s="31"/>
      <c r="N89" s="63"/>
      <c r="O89" s="57"/>
      <c r="P89" s="5"/>
      <c r="Q89" s="16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3"/>
      <c r="AC89" s="12"/>
    </row>
    <row r="90" spans="1:29" x14ac:dyDescent="0.25">
      <c r="A90" s="50" t="s">
        <v>43</v>
      </c>
      <c r="B90" s="51"/>
      <c r="C90" s="43"/>
      <c r="D90" s="15"/>
      <c r="E90" s="30">
        <v>0</v>
      </c>
      <c r="F90" s="31">
        <v>0</v>
      </c>
      <c r="G90" s="31">
        <v>0</v>
      </c>
      <c r="H90" s="31">
        <v>1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63">
        <v>0</v>
      </c>
      <c r="O90" s="57">
        <f t="shared" ref="O90" si="66">SUM(E90:N90)</f>
        <v>1</v>
      </c>
      <c r="P90" s="5"/>
      <c r="Q90" s="16">
        <f t="shared" ref="Q90:AA90" si="67">Q48*Q$60</f>
        <v>0</v>
      </c>
      <c r="R90" s="12">
        <f t="shared" si="67"/>
        <v>0</v>
      </c>
      <c r="S90" s="12">
        <f t="shared" si="67"/>
        <v>0</v>
      </c>
      <c r="T90" s="12">
        <f t="shared" si="67"/>
        <v>3326.9903499745578</v>
      </c>
      <c r="U90" s="12">
        <f t="shared" si="67"/>
        <v>0</v>
      </c>
      <c r="V90" s="12">
        <f t="shared" si="67"/>
        <v>0</v>
      </c>
      <c r="W90" s="12">
        <f t="shared" si="67"/>
        <v>0</v>
      </c>
      <c r="X90" s="12">
        <f t="shared" si="67"/>
        <v>0</v>
      </c>
      <c r="Y90" s="12">
        <f t="shared" si="67"/>
        <v>0</v>
      </c>
      <c r="Z90" s="12">
        <f t="shared" si="67"/>
        <v>0</v>
      </c>
      <c r="AA90" s="12">
        <f t="shared" si="67"/>
        <v>0</v>
      </c>
      <c r="AB90" s="13">
        <f t="shared" ref="AB90:AB92" si="68">SUM(Q90:AA90)</f>
        <v>3326.9903499745578</v>
      </c>
      <c r="AC90" s="12"/>
    </row>
    <row r="91" spans="1:29" x14ac:dyDescent="0.25">
      <c r="A91" s="4" t="s">
        <v>38</v>
      </c>
      <c r="B91" s="49"/>
      <c r="C91" s="43"/>
      <c r="D91" s="15"/>
      <c r="E91" s="30">
        <v>0</v>
      </c>
      <c r="F91" s="31">
        <v>0</v>
      </c>
      <c r="G91" s="31">
        <v>0</v>
      </c>
      <c r="H91" s="31">
        <v>1</v>
      </c>
      <c r="I91" s="31">
        <v>1</v>
      </c>
      <c r="J91" s="31">
        <v>1</v>
      </c>
      <c r="K91" s="31">
        <v>1</v>
      </c>
      <c r="L91" s="31">
        <v>1</v>
      </c>
      <c r="M91" s="31">
        <v>1</v>
      </c>
      <c r="N91" s="63">
        <v>1</v>
      </c>
      <c r="O91" s="57">
        <f t="shared" ref="O91" si="69">SUM(E91:N91)</f>
        <v>7</v>
      </c>
      <c r="P91" s="5"/>
      <c r="Q91" s="16">
        <f t="shared" ref="Q91:AA91" si="70">Q49*Q$60</f>
        <v>0</v>
      </c>
      <c r="R91" s="12">
        <f t="shared" si="70"/>
        <v>0</v>
      </c>
      <c r="S91" s="12">
        <f t="shared" si="70"/>
        <v>0</v>
      </c>
      <c r="T91" s="12">
        <f t="shared" si="70"/>
        <v>133.07961399898232</v>
      </c>
      <c r="U91" s="12">
        <f t="shared" si="70"/>
        <v>137.0720024189518</v>
      </c>
      <c r="V91" s="12">
        <f t="shared" si="70"/>
        <v>141.18416249152037</v>
      </c>
      <c r="W91" s="12">
        <f t="shared" si="70"/>
        <v>145.41968736626598</v>
      </c>
      <c r="X91" s="12">
        <f t="shared" si="70"/>
        <v>149.78227798725396</v>
      </c>
      <c r="Y91" s="12">
        <f t="shared" si="70"/>
        <v>154.2757463268716</v>
      </c>
      <c r="Z91" s="12">
        <f t="shared" si="70"/>
        <v>158.90401871667774</v>
      </c>
      <c r="AA91" s="12">
        <f t="shared" si="70"/>
        <v>0</v>
      </c>
      <c r="AB91" s="13">
        <f t="shared" si="68"/>
        <v>1019.7175093065239</v>
      </c>
      <c r="AC91" s="12"/>
    </row>
    <row r="92" spans="1:29" x14ac:dyDescent="0.25">
      <c r="A92" s="40" t="s">
        <v>5</v>
      </c>
      <c r="B92" s="44"/>
      <c r="C92" s="43"/>
      <c r="D92" s="15"/>
      <c r="E92" s="30"/>
      <c r="F92" s="31"/>
      <c r="G92" s="31"/>
      <c r="H92" s="31"/>
      <c r="I92" s="31"/>
      <c r="J92" s="31"/>
      <c r="K92" s="31"/>
      <c r="L92" s="31"/>
      <c r="M92" s="31"/>
      <c r="N92" s="63"/>
      <c r="O92" s="57"/>
      <c r="P92" s="5"/>
      <c r="Q92" s="16">
        <f t="shared" ref="Q92:Z92" si="71">SUM(Q90:Q91)</f>
        <v>0</v>
      </c>
      <c r="R92" s="12">
        <f t="shared" si="71"/>
        <v>0</v>
      </c>
      <c r="S92" s="12">
        <f t="shared" si="71"/>
        <v>0</v>
      </c>
      <c r="T92" s="12">
        <f t="shared" si="71"/>
        <v>3460.0699639735403</v>
      </c>
      <c r="U92" s="12">
        <f t="shared" si="71"/>
        <v>137.0720024189518</v>
      </c>
      <c r="V92" s="12">
        <f t="shared" si="71"/>
        <v>141.18416249152037</v>
      </c>
      <c r="W92" s="12">
        <f t="shared" si="71"/>
        <v>145.41968736626598</v>
      </c>
      <c r="X92" s="12">
        <f t="shared" si="71"/>
        <v>149.78227798725396</v>
      </c>
      <c r="Y92" s="12">
        <f t="shared" si="71"/>
        <v>154.2757463268716</v>
      </c>
      <c r="Z92" s="12">
        <f t="shared" si="71"/>
        <v>158.90401871667774</v>
      </c>
      <c r="AA92" s="12">
        <f t="shared" ref="AA92" si="72">SUM(AA90:AA91)</f>
        <v>0</v>
      </c>
      <c r="AB92" s="13">
        <f t="shared" si="68"/>
        <v>4346.7078592810813</v>
      </c>
      <c r="AC92" s="12"/>
    </row>
    <row r="93" spans="1:29" x14ac:dyDescent="0.25">
      <c r="A93" s="4"/>
      <c r="B93" s="44"/>
      <c r="C93" s="29"/>
      <c r="D93" s="15"/>
      <c r="E93" s="30"/>
      <c r="F93" s="31"/>
      <c r="G93" s="31"/>
      <c r="H93" s="31"/>
      <c r="I93" s="31"/>
      <c r="J93" s="31"/>
      <c r="K93" s="31"/>
      <c r="L93" s="31"/>
      <c r="M93" s="31"/>
      <c r="N93" s="63"/>
      <c r="O93" s="57"/>
      <c r="P93" s="5"/>
      <c r="Q93" s="16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3"/>
      <c r="AC93" s="12"/>
    </row>
    <row r="94" spans="1:29" x14ac:dyDescent="0.25">
      <c r="A94" s="32" t="s">
        <v>57</v>
      </c>
      <c r="B94" s="44"/>
      <c r="C94" s="28"/>
      <c r="D94" s="15"/>
      <c r="E94" s="30"/>
      <c r="F94" s="31"/>
      <c r="G94" s="31"/>
      <c r="H94" s="31"/>
      <c r="I94" s="31"/>
      <c r="J94" s="31"/>
      <c r="K94" s="31"/>
      <c r="L94" s="31"/>
      <c r="M94" s="31"/>
      <c r="N94" s="63"/>
      <c r="O94" s="57"/>
      <c r="P94" s="5"/>
      <c r="Q94" s="16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3"/>
      <c r="AC94" s="12"/>
    </row>
    <row r="95" spans="1:29" x14ac:dyDescent="0.25">
      <c r="A95" s="50" t="s">
        <v>49</v>
      </c>
      <c r="B95" s="51"/>
      <c r="C95" s="43"/>
      <c r="D95" s="15"/>
      <c r="E95" s="30"/>
      <c r="F95" s="31"/>
      <c r="G95" s="31"/>
      <c r="H95" s="31"/>
      <c r="I95" s="31"/>
      <c r="J95" s="31"/>
      <c r="K95" s="31"/>
      <c r="L95" s="31"/>
      <c r="M95" s="31"/>
      <c r="N95" s="63"/>
      <c r="O95" s="57"/>
      <c r="P95" s="5"/>
      <c r="Q95" s="16">
        <f t="shared" ref="Q95:Z95" si="73">Q81-Q87-Q92</f>
        <v>0</v>
      </c>
      <c r="R95" s="12">
        <f t="shared" si="73"/>
        <v>0</v>
      </c>
      <c r="S95" s="12">
        <f t="shared" si="73"/>
        <v>0</v>
      </c>
      <c r="T95" s="12">
        <f t="shared" si="73"/>
        <v>1075.2832811117769</v>
      </c>
      <c r="U95" s="12">
        <f t="shared" si="73"/>
        <v>4534.3418400189239</v>
      </c>
      <c r="V95" s="12">
        <f t="shared" si="73"/>
        <v>4670.3720952194926</v>
      </c>
      <c r="W95" s="12">
        <f t="shared" si="73"/>
        <v>4810.4832580760776</v>
      </c>
      <c r="X95" s="12">
        <f t="shared" si="73"/>
        <v>4954.7977558183602</v>
      </c>
      <c r="Y95" s="12">
        <f t="shared" si="73"/>
        <v>5103.4416884929124</v>
      </c>
      <c r="Z95" s="12">
        <f t="shared" si="73"/>
        <v>5256.5449391477005</v>
      </c>
      <c r="AA95" s="12">
        <f t="shared" ref="AA95" si="74">AA81-AA87-AA92</f>
        <v>0</v>
      </c>
      <c r="AB95" s="13">
        <f t="shared" ref="AB95:AB96" si="75">SUM(Q95:AA95)</f>
        <v>30405.264857885246</v>
      </c>
      <c r="AC95" s="12"/>
    </row>
    <row r="96" spans="1:29" x14ac:dyDescent="0.25">
      <c r="A96" s="40" t="s">
        <v>59</v>
      </c>
      <c r="B96" s="52"/>
      <c r="C96" s="43"/>
      <c r="D96" s="15"/>
      <c r="E96" s="30"/>
      <c r="F96" s="31"/>
      <c r="G96" s="31"/>
      <c r="H96" s="31"/>
      <c r="I96" s="31"/>
      <c r="J96" s="31"/>
      <c r="K96" s="31"/>
      <c r="L96" s="31"/>
      <c r="M96" s="31"/>
      <c r="N96" s="63"/>
      <c r="O96" s="57"/>
      <c r="P96" s="5"/>
      <c r="Q96" s="16">
        <f>$B12*Q95/2</f>
        <v>0</v>
      </c>
      <c r="R96" s="12">
        <f>$B12*((Q95/2)+(R95/2))</f>
        <v>0</v>
      </c>
      <c r="S96" s="12">
        <f t="shared" ref="S96:AA96" si="76">$B12*((R95/2)+(S95/2))</f>
        <v>0</v>
      </c>
      <c r="T96" s="12">
        <f t="shared" si="76"/>
        <v>107.5283281111777</v>
      </c>
      <c r="U96" s="12">
        <f t="shared" si="76"/>
        <v>560.96251211307015</v>
      </c>
      <c r="V96" s="12">
        <f t="shared" si="76"/>
        <v>920.4713935238417</v>
      </c>
      <c r="W96" s="12">
        <f t="shared" si="76"/>
        <v>948.08553532955705</v>
      </c>
      <c r="X96" s="12">
        <f t="shared" si="76"/>
        <v>976.52810138944369</v>
      </c>
      <c r="Y96" s="12">
        <f t="shared" si="76"/>
        <v>1005.8239444311272</v>
      </c>
      <c r="Z96" s="12">
        <f t="shared" si="76"/>
        <v>1035.9986627640615</v>
      </c>
      <c r="AA96" s="12">
        <f t="shared" si="76"/>
        <v>525.65449391477011</v>
      </c>
      <c r="AB96" s="13">
        <f t="shared" si="75"/>
        <v>6081.0529715770481</v>
      </c>
      <c r="AC96" s="12"/>
    </row>
    <row r="97" spans="1:29" x14ac:dyDescent="0.25">
      <c r="A97" s="7"/>
      <c r="B97" s="8"/>
      <c r="C97" s="59"/>
      <c r="D97" s="15"/>
      <c r="E97" s="64"/>
      <c r="F97" s="65"/>
      <c r="G97" s="65"/>
      <c r="H97" s="65"/>
      <c r="I97" s="65"/>
      <c r="J97" s="65"/>
      <c r="K97" s="65"/>
      <c r="L97" s="65"/>
      <c r="M97" s="65"/>
      <c r="N97" s="66"/>
      <c r="O97" s="57"/>
      <c r="P97" s="5"/>
      <c r="Q97" s="60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2"/>
      <c r="AC97" s="12"/>
    </row>
    <row r="98" spans="1:29" x14ac:dyDescent="0.25">
      <c r="A98" s="5"/>
      <c r="B98" s="5"/>
      <c r="C98" s="5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9" x14ac:dyDescent="0.25">
      <c r="A99" s="26" t="s">
        <v>6</v>
      </c>
      <c r="B99" s="34"/>
      <c r="C99" s="2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2"/>
      <c r="Q99" s="18" t="s">
        <v>0</v>
      </c>
      <c r="R99" s="18" t="s">
        <v>1</v>
      </c>
      <c r="S99" s="18" t="s">
        <v>2</v>
      </c>
      <c r="T99" s="18" t="s">
        <v>3</v>
      </c>
      <c r="U99" s="18" t="s">
        <v>4</v>
      </c>
      <c r="V99" s="18" t="s">
        <v>13</v>
      </c>
      <c r="W99" s="18" t="s">
        <v>14</v>
      </c>
      <c r="X99" s="18" t="s">
        <v>15</v>
      </c>
      <c r="Y99" s="18" t="s">
        <v>16</v>
      </c>
      <c r="Z99" s="18" t="s">
        <v>17</v>
      </c>
      <c r="AA99" s="18"/>
      <c r="AB99" s="19" t="s">
        <v>5</v>
      </c>
      <c r="AC99" s="1" t="s">
        <v>42</v>
      </c>
    </row>
    <row r="100" spans="1:29" ht="6" customHeight="1" x14ac:dyDescent="0.25">
      <c r="A100" s="4"/>
      <c r="B100" s="5"/>
      <c r="C100" s="5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6"/>
      <c r="AC100" s="5"/>
    </row>
    <row r="101" spans="1:29" x14ac:dyDescent="0.25">
      <c r="A101" s="21" t="s">
        <v>79</v>
      </c>
      <c r="B101" s="3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12">
        <f t="shared" ref="Q101:AA101" si="77">Q69</f>
        <v>4366.1262233219413</v>
      </c>
      <c r="R101" s="12">
        <f t="shared" si="77"/>
        <v>4280.8383892320389</v>
      </c>
      <c r="S101" s="12">
        <f t="shared" si="77"/>
        <v>2490.5139140611486</v>
      </c>
      <c r="T101" s="12">
        <f t="shared" si="77"/>
        <v>0</v>
      </c>
      <c r="U101" s="12">
        <f t="shared" si="77"/>
        <v>0</v>
      </c>
      <c r="V101" s="12">
        <f t="shared" si="77"/>
        <v>0</v>
      </c>
      <c r="W101" s="12">
        <f t="shared" si="77"/>
        <v>0</v>
      </c>
      <c r="X101" s="12">
        <f t="shared" si="77"/>
        <v>0</v>
      </c>
      <c r="Y101" s="12">
        <f t="shared" si="77"/>
        <v>0</v>
      </c>
      <c r="Z101" s="12">
        <f t="shared" si="77"/>
        <v>0</v>
      </c>
      <c r="AA101" s="12">
        <f t="shared" si="77"/>
        <v>0</v>
      </c>
      <c r="AB101" s="13">
        <f>SUM(Q101:AA101)</f>
        <v>11137.478526615128</v>
      </c>
      <c r="AC101" s="53">
        <f>AB101-AB69</f>
        <v>0</v>
      </c>
    </row>
    <row r="102" spans="1:29" x14ac:dyDescent="0.25">
      <c r="A102" s="21" t="s">
        <v>97</v>
      </c>
      <c r="B102" s="3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12">
        <f t="shared" ref="Q102:AA102" si="78">Q70</f>
        <v>338.29638550307396</v>
      </c>
      <c r="R102" s="12">
        <f t="shared" si="78"/>
        <v>348.44527706816621</v>
      </c>
      <c r="S102" s="12">
        <f t="shared" si="78"/>
        <v>358.8986353802112</v>
      </c>
      <c r="T102" s="12">
        <f t="shared" si="78"/>
        <v>3326.9903499745578</v>
      </c>
      <c r="U102" s="12">
        <f t="shared" si="78"/>
        <v>0</v>
      </c>
      <c r="V102" s="12">
        <f t="shared" si="78"/>
        <v>0</v>
      </c>
      <c r="W102" s="12">
        <f t="shared" si="78"/>
        <v>0</v>
      </c>
      <c r="X102" s="12">
        <f t="shared" si="78"/>
        <v>0</v>
      </c>
      <c r="Y102" s="12">
        <f t="shared" si="78"/>
        <v>0</v>
      </c>
      <c r="Z102" s="12">
        <f t="shared" si="78"/>
        <v>0</v>
      </c>
      <c r="AA102" s="12">
        <f t="shared" si="78"/>
        <v>0</v>
      </c>
      <c r="AB102" s="13">
        <f t="shared" ref="AB102:AB109" si="79">SUM(Q102:AA102)</f>
        <v>4372.6306479260093</v>
      </c>
      <c r="AC102" s="53">
        <f>AB102-AB70</f>
        <v>0</v>
      </c>
    </row>
    <row r="103" spans="1:29" x14ac:dyDescent="0.25">
      <c r="A103" s="22" t="s">
        <v>54</v>
      </c>
      <c r="B103" s="3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12">
        <f>Q79</f>
        <v>0</v>
      </c>
      <c r="R103" s="12">
        <f t="shared" ref="R103:Z103" si="80">R79</f>
        <v>0</v>
      </c>
      <c r="S103" s="12">
        <f t="shared" si="80"/>
        <v>0</v>
      </c>
      <c r="T103" s="12">
        <f t="shared" si="80"/>
        <v>9315.5729799287619</v>
      </c>
      <c r="U103" s="12">
        <f t="shared" si="80"/>
        <v>9595.0401693266249</v>
      </c>
      <c r="V103" s="12">
        <f t="shared" si="80"/>
        <v>9882.8913744064248</v>
      </c>
      <c r="W103" s="12">
        <f t="shared" si="80"/>
        <v>10179.378115638618</v>
      </c>
      <c r="X103" s="12">
        <f t="shared" si="80"/>
        <v>10484.759459107778</v>
      </c>
      <c r="Y103" s="12">
        <f t="shared" si="80"/>
        <v>10799.302242881011</v>
      </c>
      <c r="Z103" s="12">
        <f t="shared" si="80"/>
        <v>11123.281310167442</v>
      </c>
      <c r="AA103" s="12">
        <f t="shared" ref="AA103" si="81">AA79</f>
        <v>0</v>
      </c>
      <c r="AB103" s="13">
        <f t="shared" si="79"/>
        <v>71380.225651456654</v>
      </c>
      <c r="AC103" s="53">
        <f>AB103-AB79</f>
        <v>0</v>
      </c>
    </row>
    <row r="104" spans="1:29" x14ac:dyDescent="0.25">
      <c r="A104" s="21" t="s">
        <v>52</v>
      </c>
      <c r="B104" s="3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12">
        <f>Q80</f>
        <v>0</v>
      </c>
      <c r="R104" s="12">
        <f t="shared" ref="R104:Z104" si="82">R80</f>
        <v>0</v>
      </c>
      <c r="S104" s="12">
        <f t="shared" si="82"/>
        <v>0</v>
      </c>
      <c r="T104" s="12">
        <f t="shared" si="82"/>
        <v>1863.1145959857524</v>
      </c>
      <c r="U104" s="12">
        <f t="shared" si="82"/>
        <v>1919.0080338653252</v>
      </c>
      <c r="V104" s="12">
        <f t="shared" si="82"/>
        <v>1976.5782748812851</v>
      </c>
      <c r="W104" s="12">
        <f t="shared" si="82"/>
        <v>2035.8756231277237</v>
      </c>
      <c r="X104" s="12">
        <f t="shared" si="82"/>
        <v>2096.9518918215558</v>
      </c>
      <c r="Y104" s="12">
        <f t="shared" si="82"/>
        <v>2159.8604485762021</v>
      </c>
      <c r="Z104" s="12">
        <f t="shared" si="82"/>
        <v>2224.6562620334885</v>
      </c>
      <c r="AA104" s="12">
        <f t="shared" ref="AA104" si="83">AA80</f>
        <v>0</v>
      </c>
      <c r="AB104" s="13">
        <f t="shared" si="79"/>
        <v>14276.045130291333</v>
      </c>
      <c r="AC104" s="53">
        <f>AB104-AB80</f>
        <v>0</v>
      </c>
    </row>
    <row r="105" spans="1:29" x14ac:dyDescent="0.25">
      <c r="A105" s="21" t="s">
        <v>53</v>
      </c>
      <c r="B105" s="3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12">
        <f>Q87</f>
        <v>0</v>
      </c>
      <c r="R105" s="12">
        <f t="shared" ref="R105:Z105" si="84">R87</f>
        <v>0</v>
      </c>
      <c r="S105" s="12">
        <f t="shared" si="84"/>
        <v>0</v>
      </c>
      <c r="T105" s="12">
        <f t="shared" si="84"/>
        <v>2917.1051388576925</v>
      </c>
      <c r="U105" s="12">
        <f t="shared" si="84"/>
        <v>3004.6182930234236</v>
      </c>
      <c r="V105" s="12">
        <f t="shared" si="84"/>
        <v>3094.7568418141263</v>
      </c>
      <c r="W105" s="12">
        <f t="shared" si="84"/>
        <v>3187.5995470685502</v>
      </c>
      <c r="X105" s="12">
        <f t="shared" si="84"/>
        <v>3283.2275334806072</v>
      </c>
      <c r="Y105" s="12">
        <f t="shared" si="84"/>
        <v>3381.7243594850247</v>
      </c>
      <c r="Z105" s="12">
        <f t="shared" si="84"/>
        <v>3483.176090269576</v>
      </c>
      <c r="AA105" s="12">
        <f t="shared" ref="AA105" si="85">AA87</f>
        <v>0</v>
      </c>
      <c r="AB105" s="13">
        <f t="shared" si="79"/>
        <v>22352.207803999001</v>
      </c>
      <c r="AC105" s="53">
        <f>AB105-AB87</f>
        <v>0</v>
      </c>
    </row>
    <row r="106" spans="1:29" x14ac:dyDescent="0.25">
      <c r="A106" s="21" t="s">
        <v>55</v>
      </c>
      <c r="B106" s="3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12">
        <f>Q92</f>
        <v>0</v>
      </c>
      <c r="R106" s="12">
        <f t="shared" ref="R106:Z106" si="86">R92</f>
        <v>0</v>
      </c>
      <c r="S106" s="12">
        <f t="shared" si="86"/>
        <v>0</v>
      </c>
      <c r="T106" s="12">
        <f t="shared" si="86"/>
        <v>3460.0699639735403</v>
      </c>
      <c r="U106" s="12">
        <f t="shared" si="86"/>
        <v>137.0720024189518</v>
      </c>
      <c r="V106" s="12">
        <f t="shared" si="86"/>
        <v>141.18416249152037</v>
      </c>
      <c r="W106" s="12">
        <f t="shared" si="86"/>
        <v>145.41968736626598</v>
      </c>
      <c r="X106" s="12">
        <f t="shared" si="86"/>
        <v>149.78227798725396</v>
      </c>
      <c r="Y106" s="12">
        <f t="shared" si="86"/>
        <v>154.2757463268716</v>
      </c>
      <c r="Z106" s="12">
        <f t="shared" si="86"/>
        <v>158.90401871667774</v>
      </c>
      <c r="AA106" s="12">
        <f t="shared" ref="AA106" si="87">AA92</f>
        <v>0</v>
      </c>
      <c r="AB106" s="13">
        <f t="shared" si="79"/>
        <v>4346.7078592810813</v>
      </c>
      <c r="AC106" s="53">
        <f>AB106-AB92</f>
        <v>0</v>
      </c>
    </row>
    <row r="107" spans="1:29" x14ac:dyDescent="0.25">
      <c r="A107" s="21" t="s">
        <v>68</v>
      </c>
      <c r="B107" s="3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2">
        <f>Q76</f>
        <v>470.44226088250156</v>
      </c>
      <c r="R107" s="12">
        <f t="shared" ref="R107:Z107" si="88">R76</f>
        <v>1464.9703823097489</v>
      </c>
      <c r="S107" s="12">
        <f t="shared" si="88"/>
        <v>1270.9786758660798</v>
      </c>
      <c r="T107" s="12">
        <f t="shared" si="88"/>
        <v>939.62390802846562</v>
      </c>
      <c r="U107" s="12">
        <f t="shared" si="88"/>
        <v>708.6489445445809</v>
      </c>
      <c r="V107" s="12">
        <f t="shared" si="88"/>
        <v>0</v>
      </c>
      <c r="W107" s="12">
        <f t="shared" si="88"/>
        <v>0</v>
      </c>
      <c r="X107" s="12">
        <f t="shared" si="88"/>
        <v>0</v>
      </c>
      <c r="Y107" s="12">
        <f t="shared" si="88"/>
        <v>0</v>
      </c>
      <c r="Z107" s="12">
        <f t="shared" si="88"/>
        <v>0</v>
      </c>
      <c r="AA107" s="12">
        <f t="shared" ref="AA107" si="89">AA76</f>
        <v>0</v>
      </c>
      <c r="AB107" s="13">
        <f t="shared" si="79"/>
        <v>4854.664171631377</v>
      </c>
      <c r="AC107" s="53">
        <f>AB107-AB76</f>
        <v>0</v>
      </c>
    </row>
    <row r="108" spans="1:29" x14ac:dyDescent="0.25">
      <c r="A108" s="21" t="s">
        <v>65</v>
      </c>
      <c r="B108" s="3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2">
        <f>Q96</f>
        <v>0</v>
      </c>
      <c r="R108" s="12">
        <f t="shared" ref="R108:Z108" si="90">R96</f>
        <v>0</v>
      </c>
      <c r="S108" s="12">
        <f t="shared" si="90"/>
        <v>0</v>
      </c>
      <c r="T108" s="12">
        <f t="shared" si="90"/>
        <v>107.5283281111777</v>
      </c>
      <c r="U108" s="12">
        <f t="shared" si="90"/>
        <v>560.96251211307015</v>
      </c>
      <c r="V108" s="12">
        <f t="shared" si="90"/>
        <v>920.4713935238417</v>
      </c>
      <c r="W108" s="12">
        <f t="shared" si="90"/>
        <v>948.08553532955705</v>
      </c>
      <c r="X108" s="12">
        <f t="shared" si="90"/>
        <v>976.52810138944369</v>
      </c>
      <c r="Y108" s="12">
        <f t="shared" si="90"/>
        <v>1005.8239444311272</v>
      </c>
      <c r="Z108" s="12">
        <f t="shared" si="90"/>
        <v>1035.9986627640615</v>
      </c>
      <c r="AA108" s="12">
        <f t="shared" ref="AA108" si="91">AA96</f>
        <v>525.65449391477011</v>
      </c>
      <c r="AB108" s="13">
        <f t="shared" si="79"/>
        <v>6081.0529715770481</v>
      </c>
      <c r="AC108" s="53">
        <f>AB108-AB96</f>
        <v>0</v>
      </c>
    </row>
    <row r="109" spans="1:29" x14ac:dyDescent="0.25">
      <c r="A109" s="22" t="s">
        <v>10</v>
      </c>
      <c r="B109" s="3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2">
        <f>Q103+Q107-Q101-Q102-Q104-Q105-Q106-Q108</f>
        <v>-4233.9803479425136</v>
      </c>
      <c r="R109" s="12">
        <f t="shared" ref="R109:Z109" si="92">R103+R107-R101-R102-R104-R105-R106-R108</f>
        <v>-3164.3132839904565</v>
      </c>
      <c r="S109" s="12">
        <f t="shared" si="92"/>
        <v>-1578.4338735752799</v>
      </c>
      <c r="T109" s="12">
        <f t="shared" si="92"/>
        <v>-1419.6114889454936</v>
      </c>
      <c r="U109" s="12">
        <f t="shared" si="92"/>
        <v>4682.0282724504359</v>
      </c>
      <c r="V109" s="12">
        <f t="shared" si="92"/>
        <v>3749.9007016956512</v>
      </c>
      <c r="W109" s="12">
        <f t="shared" si="92"/>
        <v>3862.3977227465207</v>
      </c>
      <c r="X109" s="12">
        <f t="shared" si="92"/>
        <v>3978.2696544289165</v>
      </c>
      <c r="Y109" s="12">
        <f t="shared" si="92"/>
        <v>4097.6177440617848</v>
      </c>
      <c r="Z109" s="12">
        <f t="shared" si="92"/>
        <v>4220.5462763836385</v>
      </c>
      <c r="AA109" s="12">
        <f t="shared" ref="AA109" si="93">AA103+AA107-AA101-AA102-AA104-AA105-AA106-AA108</f>
        <v>-525.65449391477011</v>
      </c>
      <c r="AB109" s="13">
        <f t="shared" si="79"/>
        <v>13668.766883398435</v>
      </c>
    </row>
    <row r="110" spans="1:29" ht="8.25" customHeight="1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6"/>
    </row>
    <row r="111" spans="1:29" x14ac:dyDescent="0.25">
      <c r="A111" s="21" t="s">
        <v>9</v>
      </c>
      <c r="B111" s="3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27">
        <f>1/SQRT(1+B14)</f>
        <v>0.94072086838359736</v>
      </c>
      <c r="R111" s="27">
        <f t="shared" ref="R111:AA111" si="94">Q111/(1+$B14)</f>
        <v>0.83249634370229864</v>
      </c>
      <c r="S111" s="27">
        <f t="shared" si="94"/>
        <v>0.73672242805513155</v>
      </c>
      <c r="T111" s="27">
        <f t="shared" si="94"/>
        <v>0.65196675049126696</v>
      </c>
      <c r="U111" s="27">
        <f t="shared" si="94"/>
        <v>0.57696172609846641</v>
      </c>
      <c r="V111" s="27">
        <f t="shared" si="94"/>
        <v>0.51058559831722694</v>
      </c>
      <c r="W111" s="27">
        <f t="shared" si="94"/>
        <v>0.4518456622276345</v>
      </c>
      <c r="X111" s="27">
        <f t="shared" si="94"/>
        <v>0.39986341790056157</v>
      </c>
      <c r="Y111" s="27">
        <f t="shared" si="94"/>
        <v>0.35386143177040852</v>
      </c>
      <c r="Z111" s="27">
        <f t="shared" si="94"/>
        <v>0.31315170953133498</v>
      </c>
      <c r="AA111" s="27">
        <f t="shared" si="94"/>
        <v>0.27712540666489821</v>
      </c>
      <c r="AB111" s="13"/>
      <c r="AC111" s="12"/>
    </row>
    <row r="112" spans="1:29" ht="15.75" x14ac:dyDescent="0.25">
      <c r="A112" s="21" t="s">
        <v>11</v>
      </c>
      <c r="B112" s="3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2">
        <f>Q109*Q111</f>
        <v>-3982.9936696355671</v>
      </c>
      <c r="R112" s="12">
        <f t="shared" ref="R112:Z112" si="95">R109*R111</f>
        <v>-2634.2792392506685</v>
      </c>
      <c r="S112" s="12">
        <f t="shared" si="95"/>
        <v>-1162.8676358648468</v>
      </c>
      <c r="T112" s="12">
        <f t="shared" si="95"/>
        <v>-925.53948940786267</v>
      </c>
      <c r="U112" s="12">
        <f t="shared" si="95"/>
        <v>2701.3511137148244</v>
      </c>
      <c r="V112" s="12">
        <f t="shared" si="95"/>
        <v>1914.6452934054632</v>
      </c>
      <c r="W112" s="12">
        <f t="shared" si="95"/>
        <v>1745.2076568209091</v>
      </c>
      <c r="X112" s="12">
        <f t="shared" si="95"/>
        <v>1590.7645013500326</v>
      </c>
      <c r="Y112" s="12">
        <f t="shared" si="95"/>
        <v>1449.9888817615345</v>
      </c>
      <c r="Z112" s="12">
        <f t="shared" si="95"/>
        <v>1321.6712816056465</v>
      </c>
      <c r="AA112" s="12">
        <f t="shared" ref="AA112" si="96">AA109*AA111</f>
        <v>-145.67221539136193</v>
      </c>
      <c r="AB112" s="25">
        <f>SUM(Q112:AA112)</f>
        <v>1872.276479108104</v>
      </c>
      <c r="AC112" s="53">
        <f>AB112-AA113</f>
        <v>0</v>
      </c>
    </row>
    <row r="113" spans="1:29" x14ac:dyDescent="0.25">
      <c r="A113" s="22" t="s">
        <v>12</v>
      </c>
      <c r="B113" s="38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2">
        <f>Q112</f>
        <v>-3982.9936696355671</v>
      </c>
      <c r="R113" s="12">
        <f>Q113+R112</f>
        <v>-6617.2729088862361</v>
      </c>
      <c r="S113" s="12">
        <f t="shared" ref="S113:U113" si="97">R113+S112</f>
        <v>-7780.1405447510824</v>
      </c>
      <c r="T113" s="12">
        <f t="shared" si="97"/>
        <v>-8705.6800341589442</v>
      </c>
      <c r="U113" s="12">
        <f t="shared" si="97"/>
        <v>-6004.3289204441198</v>
      </c>
      <c r="V113" s="12">
        <f t="shared" ref="V113" si="98">U113+V112</f>
        <v>-4089.6836270386566</v>
      </c>
      <c r="W113" s="12">
        <f t="shared" ref="W113" si="99">V113+W112</f>
        <v>-2344.4759702177475</v>
      </c>
      <c r="X113" s="12">
        <f t="shared" ref="X113" si="100">W113+X112</f>
        <v>-753.71146886771498</v>
      </c>
      <c r="Y113" s="12">
        <f t="shared" ref="Y113" si="101">X113+Y112</f>
        <v>696.27741289381947</v>
      </c>
      <c r="Z113" s="12">
        <f t="shared" ref="Z113:AA113" si="102">Y113+Z112</f>
        <v>2017.948694499466</v>
      </c>
      <c r="AA113" s="12">
        <f t="shared" si="102"/>
        <v>1872.276479108104</v>
      </c>
      <c r="AB113" s="13"/>
      <c r="AC113" s="12"/>
    </row>
    <row r="114" spans="1:29" ht="6.75" customHeight="1" x14ac:dyDescent="0.25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9"/>
      <c r="AC114" s="5"/>
    </row>
    <row r="116" spans="1:29" x14ac:dyDescent="0.25">
      <c r="A116" s="24" t="s">
        <v>7</v>
      </c>
    </row>
    <row r="117" spans="1:29" x14ac:dyDescent="0.25">
      <c r="A117" t="s">
        <v>102</v>
      </c>
      <c r="B117" s="24"/>
    </row>
    <row r="118" spans="1:29" x14ac:dyDescent="0.25">
      <c r="A118" t="s">
        <v>108</v>
      </c>
    </row>
    <row r="119" spans="1:29" x14ac:dyDescent="0.25">
      <c r="A119" t="s">
        <v>103</v>
      </c>
    </row>
    <row r="120" spans="1:29" x14ac:dyDescent="0.25">
      <c r="A120" t="s">
        <v>104</v>
      </c>
    </row>
    <row r="121" spans="1:29" x14ac:dyDescent="0.25">
      <c r="A121" t="s">
        <v>110</v>
      </c>
    </row>
  </sheetData>
  <conditionalFormatting sqref="AC37:AC39 AC42:AC45 AC48:AC50 AC21:AC30 AC101:AC108 AC53:AC54 AC32:AC35">
    <cfRule type="cellIs" dxfId="7" priority="12" operator="notEqual">
      <formula>0</formula>
    </cfRule>
  </conditionalFormatting>
  <conditionalFormatting sqref="O21:O26 O28 O32:O34 O74:O76">
    <cfRule type="cellIs" dxfId="6" priority="11" operator="notEqual">
      <formula>1</formula>
    </cfRule>
  </conditionalFormatting>
  <conditionalFormatting sqref="O48">
    <cfRule type="cellIs" dxfId="5" priority="10" operator="notEqual">
      <formula>1</formula>
    </cfRule>
  </conditionalFormatting>
  <conditionalFormatting sqref="O37:O38 O42:O44 O49">
    <cfRule type="cellIs" dxfId="4" priority="9" operator="notEqual">
      <formula>$B$6</formula>
    </cfRule>
  </conditionalFormatting>
  <conditionalFormatting sqref="AC112">
    <cfRule type="cellIs" dxfId="3" priority="6" operator="notEqual">
      <formula>0</formula>
    </cfRule>
  </conditionalFormatting>
  <conditionalFormatting sqref="O63:O68 O70">
    <cfRule type="cellIs" dxfId="2" priority="4" operator="notEqual">
      <formula>1</formula>
    </cfRule>
  </conditionalFormatting>
  <conditionalFormatting sqref="O90">
    <cfRule type="cellIs" dxfId="1" priority="3" operator="notEqual">
      <formula>1</formula>
    </cfRule>
  </conditionalFormatting>
  <conditionalFormatting sqref="O79:O80 O84:O86 O91">
    <cfRule type="cellIs" dxfId="0" priority="2" operator="notEqual">
      <formula>$B$6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Q27:Z27 Q69:AA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4:N19"/>
  <sheetViews>
    <sheetView workbookViewId="0">
      <selection activeCell="I22" sqref="I22"/>
    </sheetView>
  </sheetViews>
  <sheetFormatPr defaultRowHeight="15" x14ac:dyDescent="0.25"/>
  <cols>
    <col min="1" max="1" width="3.42578125" customWidth="1"/>
    <col min="2" max="2" width="25.140625" customWidth="1"/>
    <col min="3" max="8" width="6.85546875" customWidth="1"/>
    <col min="9" max="12" width="7.7109375" customWidth="1"/>
    <col min="13" max="13" width="7.42578125" customWidth="1"/>
    <col min="14" max="14" width="7.7109375" customWidth="1"/>
    <col min="15" max="15" width="9.140625" customWidth="1"/>
  </cols>
  <sheetData>
    <row r="4" spans="1:14" x14ac:dyDescent="0.25">
      <c r="A4" s="26" t="s">
        <v>100</v>
      </c>
      <c r="B4" s="2"/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107</v>
      </c>
      <c r="N4" s="19" t="s">
        <v>5</v>
      </c>
    </row>
    <row r="5" spans="1:14" ht="6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5">
      <c r="A6" s="73" t="s">
        <v>89</v>
      </c>
      <c r="B6" s="37" t="s">
        <v>81</v>
      </c>
      <c r="C6" s="12">
        <v>4366.1262233219413</v>
      </c>
      <c r="D6" s="12">
        <v>4280.8383892320389</v>
      </c>
      <c r="E6" s="12">
        <v>2490.5139140611486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3">
        <v>11137.478526615128</v>
      </c>
    </row>
    <row r="7" spans="1:14" x14ac:dyDescent="0.25">
      <c r="A7" s="73" t="s">
        <v>90</v>
      </c>
      <c r="B7" s="37" t="s">
        <v>98</v>
      </c>
      <c r="C7" s="12">
        <v>338.29638550307396</v>
      </c>
      <c r="D7" s="12">
        <v>348.44527706816621</v>
      </c>
      <c r="E7" s="12">
        <v>358.8986353802112</v>
      </c>
      <c r="F7" s="12">
        <v>3326.9903499745578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3">
        <v>4372.6306479260093</v>
      </c>
    </row>
    <row r="8" spans="1:14" x14ac:dyDescent="0.25">
      <c r="A8" s="73" t="s">
        <v>91</v>
      </c>
      <c r="B8" s="38" t="s">
        <v>56</v>
      </c>
      <c r="C8" s="12">
        <v>0</v>
      </c>
      <c r="D8" s="12">
        <v>0</v>
      </c>
      <c r="E8" s="12">
        <v>0</v>
      </c>
      <c r="F8" s="12">
        <v>9315.5729799287619</v>
      </c>
      <c r="G8" s="12">
        <v>9595.0401693266249</v>
      </c>
      <c r="H8" s="12">
        <v>9882.8913744064248</v>
      </c>
      <c r="I8" s="12">
        <v>10179.378115638618</v>
      </c>
      <c r="J8" s="12">
        <v>10484.759459107778</v>
      </c>
      <c r="K8" s="12">
        <v>10799.302242881011</v>
      </c>
      <c r="L8" s="12">
        <v>11123.281310167442</v>
      </c>
      <c r="M8" s="12">
        <v>0</v>
      </c>
      <c r="N8" s="13">
        <v>71380.225651456654</v>
      </c>
    </row>
    <row r="9" spans="1:14" x14ac:dyDescent="0.25">
      <c r="A9" s="73" t="s">
        <v>92</v>
      </c>
      <c r="B9" s="37" t="s">
        <v>82</v>
      </c>
      <c r="C9" s="12">
        <v>0</v>
      </c>
      <c r="D9" s="12">
        <v>0</v>
      </c>
      <c r="E9" s="12">
        <v>0</v>
      </c>
      <c r="F9" s="12">
        <v>1863.1145959857524</v>
      </c>
      <c r="G9" s="12">
        <v>1919.0080338653252</v>
      </c>
      <c r="H9" s="12">
        <v>1976.5782748812851</v>
      </c>
      <c r="I9" s="12">
        <v>2035.8756231277237</v>
      </c>
      <c r="J9" s="12">
        <v>2096.9518918215558</v>
      </c>
      <c r="K9" s="12">
        <v>2159.8604485762021</v>
      </c>
      <c r="L9" s="12">
        <v>2224.6562620334885</v>
      </c>
      <c r="M9" s="12">
        <v>0</v>
      </c>
      <c r="N9" s="13">
        <v>14276.045130291333</v>
      </c>
    </row>
    <row r="10" spans="1:14" x14ac:dyDescent="0.25">
      <c r="A10" s="73" t="s">
        <v>93</v>
      </c>
      <c r="B10" s="37" t="s">
        <v>83</v>
      </c>
      <c r="C10" s="12">
        <v>0</v>
      </c>
      <c r="D10" s="12">
        <v>0</v>
      </c>
      <c r="E10" s="12">
        <v>0</v>
      </c>
      <c r="F10" s="12">
        <v>2917.1051388576925</v>
      </c>
      <c r="G10" s="12">
        <v>3004.6182930234236</v>
      </c>
      <c r="H10" s="12">
        <v>3094.7568418141263</v>
      </c>
      <c r="I10" s="12">
        <v>3187.5995470685502</v>
      </c>
      <c r="J10" s="12">
        <v>3283.2275334806072</v>
      </c>
      <c r="K10" s="12">
        <v>3381.7243594850247</v>
      </c>
      <c r="L10" s="12">
        <v>3483.176090269576</v>
      </c>
      <c r="M10" s="12">
        <v>0</v>
      </c>
      <c r="N10" s="13">
        <v>22352.207803999001</v>
      </c>
    </row>
    <row r="11" spans="1:14" x14ac:dyDescent="0.25">
      <c r="A11" s="73" t="s">
        <v>94</v>
      </c>
      <c r="B11" s="37" t="s">
        <v>84</v>
      </c>
      <c r="C11" s="12">
        <v>0</v>
      </c>
      <c r="D11" s="12">
        <v>0</v>
      </c>
      <c r="E11" s="12">
        <v>0</v>
      </c>
      <c r="F11" s="12">
        <v>3460.0699639735403</v>
      </c>
      <c r="G11" s="12">
        <v>137.0720024189518</v>
      </c>
      <c r="H11" s="12">
        <v>141.18416249152037</v>
      </c>
      <c r="I11" s="12">
        <v>145.41968736626598</v>
      </c>
      <c r="J11" s="12">
        <v>149.78227798725396</v>
      </c>
      <c r="K11" s="12">
        <v>154.2757463268716</v>
      </c>
      <c r="L11" s="12">
        <v>158.90401871667774</v>
      </c>
      <c r="M11" s="12">
        <v>0</v>
      </c>
      <c r="N11" s="13">
        <v>4346.7078592810813</v>
      </c>
    </row>
    <row r="12" spans="1:14" x14ac:dyDescent="0.25">
      <c r="A12" s="73" t="s">
        <v>95</v>
      </c>
      <c r="B12" s="37" t="s">
        <v>85</v>
      </c>
      <c r="C12" s="12">
        <v>470.44226088250156</v>
      </c>
      <c r="D12" s="12">
        <v>1464.9703823097489</v>
      </c>
      <c r="E12" s="12">
        <v>1270.9786758660798</v>
      </c>
      <c r="F12" s="12">
        <v>939.62390802846562</v>
      </c>
      <c r="G12" s="12">
        <v>708.6489445445809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3">
        <v>4854.664171631377</v>
      </c>
    </row>
    <row r="13" spans="1:14" x14ac:dyDescent="0.25">
      <c r="A13" s="73" t="s">
        <v>96</v>
      </c>
      <c r="B13" s="37" t="s">
        <v>86</v>
      </c>
      <c r="C13" s="12">
        <v>0</v>
      </c>
      <c r="D13" s="12">
        <v>0</v>
      </c>
      <c r="E13" s="12">
        <v>0</v>
      </c>
      <c r="F13" s="12">
        <v>107.5283281111777</v>
      </c>
      <c r="G13" s="12">
        <v>560.96251211307015</v>
      </c>
      <c r="H13" s="12">
        <v>920.4713935238417</v>
      </c>
      <c r="I13" s="12">
        <v>948.08553532955705</v>
      </c>
      <c r="J13" s="12">
        <v>976.52810138944369</v>
      </c>
      <c r="K13" s="12">
        <v>1005.8239444311272</v>
      </c>
      <c r="L13" s="12">
        <v>1035.9986627640615</v>
      </c>
      <c r="M13" s="12">
        <v>525.65449391477011</v>
      </c>
      <c r="N13" s="13">
        <v>6081.0529715770481</v>
      </c>
    </row>
    <row r="14" spans="1:14" x14ac:dyDescent="0.25">
      <c r="A14" s="22" t="s">
        <v>99</v>
      </c>
      <c r="B14" s="5"/>
      <c r="C14" s="12">
        <v>-4233.9803479425136</v>
      </c>
      <c r="D14" s="12">
        <v>-3164.3132839904565</v>
      </c>
      <c r="E14" s="12">
        <v>-1578.4338735752799</v>
      </c>
      <c r="F14" s="12">
        <v>-1419.6114889454936</v>
      </c>
      <c r="G14" s="12">
        <v>4682.0282724504359</v>
      </c>
      <c r="H14" s="12">
        <v>3749.9007016956512</v>
      </c>
      <c r="I14" s="12">
        <v>3862.3977227465207</v>
      </c>
      <c r="J14" s="12">
        <v>3978.2696544289165</v>
      </c>
      <c r="K14" s="12">
        <v>4097.6177440617848</v>
      </c>
      <c r="L14" s="12">
        <v>4220.5462763836385</v>
      </c>
      <c r="M14" s="12">
        <v>-525.65449391477011</v>
      </c>
      <c r="N14" s="13">
        <v>13668.766883398435</v>
      </c>
    </row>
    <row r="15" spans="1:14" ht="6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x14ac:dyDescent="0.25">
      <c r="A16" s="21" t="s">
        <v>9</v>
      </c>
      <c r="B16" s="5"/>
      <c r="C16" s="75">
        <v>0.94072086838359736</v>
      </c>
      <c r="D16" s="75">
        <v>0.83249634370229864</v>
      </c>
      <c r="E16" s="75">
        <v>0.73672242805513155</v>
      </c>
      <c r="F16" s="75">
        <v>0.65196675049126696</v>
      </c>
      <c r="G16" s="75">
        <v>0.57696172609846641</v>
      </c>
      <c r="H16" s="75">
        <v>0.51058559831722694</v>
      </c>
      <c r="I16" s="75">
        <v>0.4518456622276345</v>
      </c>
      <c r="J16" s="75">
        <v>0.39986341790056157</v>
      </c>
      <c r="K16" s="75">
        <v>0.35386143177040852</v>
      </c>
      <c r="L16" s="75">
        <v>0.31315170953133498</v>
      </c>
      <c r="M16" s="75">
        <v>0.27712540666489821</v>
      </c>
      <c r="N16" s="13"/>
    </row>
    <row r="17" spans="1:14" ht="15.75" x14ac:dyDescent="0.25">
      <c r="A17" s="21" t="s">
        <v>87</v>
      </c>
      <c r="B17" s="5"/>
      <c r="C17" s="12">
        <v>-3982.9936696355671</v>
      </c>
      <c r="D17" s="12">
        <v>-2634.2792392506685</v>
      </c>
      <c r="E17" s="12">
        <v>-1162.8676358648468</v>
      </c>
      <c r="F17" s="12">
        <v>-925.53948940786267</v>
      </c>
      <c r="G17" s="12">
        <v>2701.3511137148244</v>
      </c>
      <c r="H17" s="12">
        <v>1914.6452934054632</v>
      </c>
      <c r="I17" s="12">
        <v>1745.2076568209091</v>
      </c>
      <c r="J17" s="12">
        <v>1590.7645013500326</v>
      </c>
      <c r="K17" s="12">
        <v>1449.9888817615345</v>
      </c>
      <c r="L17" s="12">
        <v>1321.6712816056465</v>
      </c>
      <c r="M17" s="12">
        <v>-145.67221539136193</v>
      </c>
      <c r="N17" s="74">
        <v>1872.276479108104</v>
      </c>
    </row>
    <row r="18" spans="1:14" x14ac:dyDescent="0.25">
      <c r="A18" s="22" t="s">
        <v>88</v>
      </c>
      <c r="B18" s="5"/>
      <c r="C18" s="12">
        <v>-3982.9936696355671</v>
      </c>
      <c r="D18" s="12">
        <v>-6617.2729088862361</v>
      </c>
      <c r="E18" s="12">
        <v>-7780.1405447510824</v>
      </c>
      <c r="F18" s="12">
        <v>-8705.6800341589442</v>
      </c>
      <c r="G18" s="12">
        <v>-6004.3289204441198</v>
      </c>
      <c r="H18" s="12">
        <v>-4089.6836270386566</v>
      </c>
      <c r="I18" s="12">
        <v>-2344.4759702177475</v>
      </c>
      <c r="J18" s="12">
        <v>-753.71146886771498</v>
      </c>
      <c r="K18" s="12">
        <v>696.27741289381947</v>
      </c>
      <c r="L18" s="12">
        <v>2017.948694499466</v>
      </c>
      <c r="M18" s="12">
        <v>1872.276479108104</v>
      </c>
      <c r="N18" s="13"/>
    </row>
    <row r="19" spans="1:14" ht="3" customHeight="1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20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38100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20" r:id="rId4"/>
      </mc:Fallback>
    </mc:AlternateContent>
    <mc:AlternateContent xmlns:mc="http://schemas.openxmlformats.org/markup-compatibility/2006">
      <mc:Choice Requires="x14">
        <oleObject progId="Packager Shell Object" shapeId="4121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438150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2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2015-11-06T17:40:27Z</dcterms:modified>
</cp:coreProperties>
</file>